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9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Fernando Sarce Thomann</author>
  </authors>
  <commentList>
    <comment ref="E82" authorId="0">
      <text>
        <r>
          <rPr>
            <b/>
            <sz val="8"/>
            <rFont val="Tahoma"/>
            <family val="0"/>
          </rPr>
          <t>Factor Variable</t>
        </r>
      </text>
    </comment>
    <comment ref="D82" authorId="0">
      <text>
        <r>
          <rPr>
            <b/>
            <sz val="8"/>
            <rFont val="Tahoma"/>
            <family val="0"/>
          </rPr>
          <t>Factor Variable</t>
        </r>
      </text>
    </comment>
    <comment ref="D182" authorId="0">
      <text>
        <r>
          <rPr>
            <b/>
            <sz val="10"/>
            <rFont val="Tahoma"/>
            <family val="2"/>
          </rPr>
          <t>Tiempo de Calefacción Mensual</t>
        </r>
        <r>
          <rPr>
            <sz val="8"/>
            <rFont val="Tahoma"/>
            <family val="0"/>
          </rPr>
          <t xml:space="preserve">
</t>
        </r>
      </text>
    </comment>
    <comment ref="H182" authorId="0">
      <text>
        <r>
          <rPr>
            <b/>
            <sz val="10"/>
            <rFont val="Tahoma"/>
            <family val="2"/>
          </rPr>
          <t xml:space="preserve">Temperatura de Diseño
</t>
        </r>
        <r>
          <rPr>
            <sz val="8"/>
            <rFont val="Tahoma"/>
            <family val="0"/>
          </rPr>
          <t xml:space="preserve">
</t>
        </r>
      </text>
    </comment>
    <comment ref="E182" authorId="0">
      <text>
        <r>
          <rPr>
            <b/>
            <sz val="10"/>
            <rFont val="Tahoma"/>
            <family val="2"/>
          </rPr>
          <t>Tº promedio mensual más problable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<sst xmlns="http://schemas.openxmlformats.org/spreadsheetml/2006/main" count="449" uniqueCount="230">
  <si>
    <t>Conductividad térmica del Material</t>
  </si>
  <si>
    <t>K</t>
  </si>
  <si>
    <t>e</t>
  </si>
  <si>
    <t>Espesor Material</t>
  </si>
  <si>
    <t>hi</t>
  </si>
  <si>
    <t>he</t>
  </si>
  <si>
    <t>Exterior</t>
  </si>
  <si>
    <t>Material</t>
  </si>
  <si>
    <t>U</t>
  </si>
  <si>
    <t>Ladrillo</t>
  </si>
  <si>
    <t>Poliestireno Expandido</t>
  </si>
  <si>
    <t>Estuco Mortero Cemento</t>
  </si>
  <si>
    <t>Coeficiente transmitancia Calor Aire Interior</t>
  </si>
  <si>
    <t>Coeficiente Global de Transmitancia Térmica</t>
  </si>
  <si>
    <t>Largo (m)</t>
  </si>
  <si>
    <t>Ancho (m)</t>
  </si>
  <si>
    <t>Altura (m)</t>
  </si>
  <si>
    <r>
      <t xml:space="preserve"> K</t>
    </r>
    <r>
      <rPr>
        <b/>
        <sz val="12"/>
        <color indexed="8"/>
        <rFont val="Swis721 LtCn BT"/>
        <family val="2"/>
      </rPr>
      <t xml:space="preserve"> </t>
    </r>
    <r>
      <rPr>
        <sz val="12"/>
        <color indexed="8"/>
        <rFont val="Swis721 LtCn BT"/>
        <family val="2"/>
      </rPr>
      <t>W/m*ºC</t>
    </r>
  </si>
  <si>
    <r>
      <t>e</t>
    </r>
    <r>
      <rPr>
        <b/>
        <sz val="12"/>
        <color indexed="8"/>
        <rFont val="Swis721 LtCn BT"/>
        <family val="2"/>
      </rPr>
      <t>/</t>
    </r>
    <r>
      <rPr>
        <b/>
        <sz val="12"/>
        <color indexed="12"/>
        <rFont val="Swis721 LtCn BT"/>
        <family val="2"/>
      </rPr>
      <t>K</t>
    </r>
  </si>
  <si>
    <t>Indice</t>
  </si>
  <si>
    <t>Coeficiente Transmitancia Calor Muros &lt; 0,33 W/m2 ºC</t>
  </si>
  <si>
    <t>Cálculo de Transmitancia por los Vidrios &lt; 2,25 W/m2 ºC</t>
  </si>
  <si>
    <t>% Sup. Vidrios</t>
  </si>
  <si>
    <t>Cubicación Planchas Terciado</t>
  </si>
  <si>
    <t>Superficie Muros</t>
  </si>
  <si>
    <t>Alto (m)</t>
  </si>
  <si>
    <t>Vanos (m2)</t>
  </si>
  <si>
    <t>Total Metros2</t>
  </si>
  <si>
    <t>Cant. Planchas</t>
  </si>
  <si>
    <t>Superficie Plancha</t>
  </si>
  <si>
    <t>Espesor (mm)</t>
  </si>
  <si>
    <t>Total M2</t>
  </si>
  <si>
    <t>Total</t>
  </si>
  <si>
    <t>Valor U. ($)</t>
  </si>
  <si>
    <t>Coeficiente Transmitancia Calor Techos &lt; 0,33 W/m2 ºC</t>
  </si>
  <si>
    <t>Coeficiente Transmitancia Calor Piso &lt; 0,33 W/m2 ºC</t>
  </si>
  <si>
    <t>Propiedades Térmicas de Materiales de Construcción</t>
  </si>
  <si>
    <t>Cond. termica</t>
  </si>
  <si>
    <t>Densidad</t>
  </si>
  <si>
    <t>W/mk</t>
  </si>
  <si>
    <t>kg/m3</t>
  </si>
  <si>
    <t>j/kgK</t>
  </si>
  <si>
    <t>mK/W</t>
  </si>
  <si>
    <t>Acero galvanizado</t>
  </si>
  <si>
    <t>Adobe</t>
  </si>
  <si>
    <t>Afinado muro</t>
  </si>
  <si>
    <t>Afinado piso</t>
  </si>
  <si>
    <t>Alamo</t>
  </si>
  <si>
    <t>Alerce</t>
  </si>
  <si>
    <t>Alfombra</t>
  </si>
  <si>
    <t>Aluminio</t>
  </si>
  <si>
    <t>Arcilla</t>
  </si>
  <si>
    <t>Arcilla Expandida 300 kg/m3</t>
  </si>
  <si>
    <t>Arcilla Expandida 450 kg/m3</t>
  </si>
  <si>
    <t>Arena</t>
  </si>
  <si>
    <t>Aserrin Madera</t>
  </si>
  <si>
    <t>Asfalto</t>
  </si>
  <si>
    <t>Azulejos</t>
  </si>
  <si>
    <t>Baldosa Cerámica</t>
  </si>
  <si>
    <t>Bloque Hormigón Celular</t>
  </si>
  <si>
    <t>Bloque Mortero Cemento</t>
  </si>
  <si>
    <t>Cobre</t>
  </si>
  <si>
    <t>Coigüe</t>
  </si>
  <si>
    <t>Contrachapado</t>
  </si>
  <si>
    <t>Enchape Ladrillo</t>
  </si>
  <si>
    <t>Enlucido Yeso</t>
  </si>
  <si>
    <t>Estuco Dispersión Acrílica</t>
  </si>
  <si>
    <t>Fibras Poliester 6 kg/m3</t>
  </si>
  <si>
    <t>Fibras Poliester 8 kg/m3</t>
  </si>
  <si>
    <t>Fibras Poliester 9 kg/m3</t>
  </si>
  <si>
    <t>Fibrocemento Teja</t>
  </si>
  <si>
    <t>Fibrocemento Liso</t>
  </si>
  <si>
    <t>Fibrocemento Ondulado</t>
  </si>
  <si>
    <t>Fieltro</t>
  </si>
  <si>
    <t>Hormigón Armado</t>
  </si>
  <si>
    <t>Hormigón Liviano 1100kg/m3</t>
  </si>
  <si>
    <t>Hormigón Liviano 900kg/m3</t>
  </si>
  <si>
    <t>Hormigón Radier</t>
  </si>
  <si>
    <t>Ladrillo Arcilla Maquina</t>
  </si>
  <si>
    <t>Ladrillo Arcilla Mano</t>
  </si>
  <si>
    <t>Ladrillo Hueco</t>
  </si>
  <si>
    <t>Lana de Vidrio 14 kg/m3</t>
  </si>
  <si>
    <t>Lana de Vidrio 60 kg/m3</t>
  </si>
  <si>
    <t>Lana de Vidrio 80 kg/m3</t>
  </si>
  <si>
    <t>Lana Mineral 40 kg/m3</t>
  </si>
  <si>
    <t>Lingue</t>
  </si>
  <si>
    <t>Madera Aglomerada</t>
  </si>
  <si>
    <t>Mármol</t>
  </si>
  <si>
    <t>Masilla Adhesiva</t>
  </si>
  <si>
    <t>Mortero Cemento</t>
  </si>
  <si>
    <t>Pino Insigne</t>
  </si>
  <si>
    <t>Piso cerámico</t>
  </si>
  <si>
    <t>Piso Vinílico</t>
  </si>
  <si>
    <t>Placa OSB</t>
  </si>
  <si>
    <t>Plancha Acero Zincado</t>
  </si>
  <si>
    <t>Poliestireno expandido 10kg</t>
  </si>
  <si>
    <t>Poliestireno expandido 15kg</t>
  </si>
  <si>
    <t>Poliestireno expandido 20kg</t>
  </si>
  <si>
    <t>Poliestireno expandido 30kg</t>
  </si>
  <si>
    <t>Poliuretano 29 kg/m3</t>
  </si>
  <si>
    <t>Poliuretano 40 kg/m3</t>
  </si>
  <si>
    <t>Raulí</t>
  </si>
  <si>
    <t>Revest. Siding Vinílico</t>
  </si>
  <si>
    <t>Revestimiento Vinílico</t>
  </si>
  <si>
    <t>Roble</t>
  </si>
  <si>
    <t>Vidrio Plano</t>
  </si>
  <si>
    <t>Yeso Cartón 650 kg/m3</t>
  </si>
  <si>
    <t>Yeso Cartón 700 kg/m3</t>
  </si>
  <si>
    <t>Yeso Cartón 870 kg/m3</t>
  </si>
  <si>
    <t>Cámara de Aire</t>
  </si>
  <si>
    <t>Resist. Térmica</t>
  </si>
  <si>
    <t>Cp</t>
  </si>
  <si>
    <t>Sup. m2</t>
  </si>
  <si>
    <t>Muros (m2)</t>
  </si>
  <si>
    <t>Vidrio (m2)</t>
  </si>
  <si>
    <r>
      <t>U</t>
    </r>
    <r>
      <rPr>
        <sz val="10"/>
        <color indexed="12"/>
        <rFont val="Swis721 LtCn BT"/>
        <family val="2"/>
      </rPr>
      <t xml:space="preserve"> </t>
    </r>
    <r>
      <rPr>
        <sz val="10"/>
        <color indexed="8"/>
        <rFont val="Swis721 LtCn BT"/>
        <family val="2"/>
      </rPr>
      <t>Pared</t>
    </r>
  </si>
  <si>
    <r>
      <t>U</t>
    </r>
    <r>
      <rPr>
        <sz val="10"/>
        <color indexed="12"/>
        <rFont val="Swis721 LtCn BT"/>
        <family val="2"/>
      </rPr>
      <t xml:space="preserve"> </t>
    </r>
    <r>
      <rPr>
        <sz val="10"/>
        <color indexed="8"/>
        <rFont val="Swis721 LtCn BT"/>
        <family val="2"/>
      </rPr>
      <t>Vidrio</t>
    </r>
  </si>
  <si>
    <t xml:space="preserve"> Muros (m2)</t>
  </si>
  <si>
    <r>
      <t>e</t>
    </r>
    <r>
      <rPr>
        <b/>
        <sz val="12"/>
        <color indexed="8"/>
        <rFont val="Swis721 LtCn BT"/>
        <family val="2"/>
      </rPr>
      <t xml:space="preserve"> (cms)</t>
    </r>
  </si>
  <si>
    <t>Tamaño (mm)</t>
  </si>
  <si>
    <t>Peso aprox.</t>
  </si>
  <si>
    <t>M2 aprox./ pallet</t>
  </si>
  <si>
    <t>Aislación Acústica</t>
  </si>
  <si>
    <t>Transmitancia térmica U</t>
  </si>
  <si>
    <t>Resistencia</t>
  </si>
  <si>
    <t>Uso</t>
  </si>
  <si>
    <t>Largo x alto x espesor</t>
  </si>
  <si>
    <t>/ unidad (Kg.)</t>
  </si>
  <si>
    <t>(db)</t>
  </si>
  <si>
    <t>(w / (m2 ºK)</t>
  </si>
  <si>
    <t>al Fuego</t>
  </si>
  <si>
    <t>600 x 400 x 75  </t>
  </si>
  <si>
    <t>25.9</t>
  </si>
  <si>
    <t>36.3</t>
  </si>
  <si>
    <t>1.57</t>
  </si>
  <si>
    <t>F90</t>
  </si>
  <si>
    <t>Tabique</t>
  </si>
  <si>
    <t>600 x 400 x 100</t>
  </si>
  <si>
    <t>20.0</t>
  </si>
  <si>
    <t>37.6</t>
  </si>
  <si>
    <t>1.26</t>
  </si>
  <si>
    <t xml:space="preserve"> F150 </t>
  </si>
  <si>
    <t>600 x 300 x 125</t>
  </si>
  <si>
    <t>16.0</t>
  </si>
  <si>
    <t>38.4</t>
  </si>
  <si>
    <t>1.05</t>
  </si>
  <si>
    <t>F150</t>
  </si>
  <si>
    <t>600 x 200 x 150</t>
  </si>
  <si>
    <t>13.3</t>
  </si>
  <si>
    <t>39.2</t>
  </si>
  <si>
    <t>0.90</t>
  </si>
  <si>
    <t>F180</t>
  </si>
  <si>
    <t>Estruct.–tabique</t>
  </si>
  <si>
    <t>600 x 200 x 175</t>
  </si>
  <si>
    <t>11.4</t>
  </si>
  <si>
    <t>0.79</t>
  </si>
  <si>
    <t>600 x 200 x 200</t>
  </si>
  <si>
    <t>10.0</t>
  </si>
  <si>
    <t>0.70</t>
  </si>
  <si>
    <t>Hormigón Celular 13kg</t>
  </si>
  <si>
    <t>Hormigón Celular 17kg</t>
  </si>
  <si>
    <t>Hormigón Celular 16kg</t>
  </si>
  <si>
    <t>Hormigón Celular 15kg</t>
  </si>
  <si>
    <t>Largo</t>
  </si>
  <si>
    <t>ancho</t>
  </si>
  <si>
    <t>alto</t>
  </si>
  <si>
    <t>densidad</t>
  </si>
  <si>
    <t>masa kg</t>
  </si>
  <si>
    <t>Hormigón Hebel</t>
  </si>
  <si>
    <t>Volumen (m3)</t>
  </si>
  <si>
    <t>Isopol Instapanel</t>
  </si>
  <si>
    <t>Peso kg/m2</t>
  </si>
  <si>
    <t>transm.</t>
  </si>
  <si>
    <t>Espesor (m)</t>
  </si>
  <si>
    <t>Isopol Instapanel 9,5kg</t>
  </si>
  <si>
    <t>Isopol Instapanel 10kg</t>
  </si>
  <si>
    <t>Isopol Instapanel 10,4kg</t>
  </si>
  <si>
    <t>Isopol Instapanel 11kg</t>
  </si>
  <si>
    <t>Isopol Instapanel 12kg</t>
  </si>
  <si>
    <t>Isopur Instapanel</t>
  </si>
  <si>
    <t>Isopur Instapanel11,4kg</t>
  </si>
  <si>
    <t>Isopur Instapanel12,2kg</t>
  </si>
  <si>
    <t>Isopur Instapanel13kg</t>
  </si>
  <si>
    <t>Isopur Instapanel14,2kg</t>
  </si>
  <si>
    <t>Plancha Volcanita</t>
  </si>
  <si>
    <t xml:space="preserve">Q =Sumatoria U*A*D(t) </t>
  </si>
  <si>
    <t>U= Transmitancia de paredes, muros, techumbre, etc.</t>
  </si>
  <si>
    <t>A= Superficie de Muros, paredes, techos,etc.</t>
  </si>
  <si>
    <t>d(t)= Tº (dot) designe outdors temperature ejemplo 3ºC para Valdivia o 8ºC para Santiago</t>
  </si>
  <si>
    <t>Sumatoria U</t>
  </si>
  <si>
    <t>Areas</t>
  </si>
  <si>
    <t>ancho (m)</t>
  </si>
  <si>
    <t>perím.(m)</t>
  </si>
  <si>
    <t>sup. Piso(m2)</t>
  </si>
  <si>
    <t xml:space="preserve">Volumen(m3) </t>
  </si>
  <si>
    <t>Altura</t>
  </si>
  <si>
    <t>D(t)</t>
  </si>
  <si>
    <t>T dot</t>
  </si>
  <si>
    <t>Por Transmición en Muros</t>
  </si>
  <si>
    <t>Por Transmición en Techumbre</t>
  </si>
  <si>
    <t>Superficie techos</t>
  </si>
  <si>
    <t>Por Transmición en Pisos</t>
  </si>
  <si>
    <t>Superficie Piso</t>
  </si>
  <si>
    <t>Tº o</t>
  </si>
  <si>
    <t>Tº Int(ganan.)</t>
  </si>
  <si>
    <t>d(t)= Tº confort -(Tºo + 3)</t>
  </si>
  <si>
    <r>
      <t xml:space="preserve">Pérdidas en Potencia energética </t>
    </r>
    <r>
      <rPr>
        <b/>
        <sz val="18"/>
        <color indexed="12"/>
        <rFont val="Swis721 LtCn BT"/>
        <family val="2"/>
      </rPr>
      <t>Q</t>
    </r>
  </si>
  <si>
    <t>Q Kwatt</t>
  </si>
  <si>
    <t>Por Transmición en Vidrios</t>
  </si>
  <si>
    <t>Superficie Vidrios</t>
  </si>
  <si>
    <t>M2 muros</t>
  </si>
  <si>
    <t>de transmición por Ventilación</t>
  </si>
  <si>
    <t xml:space="preserve">ACH/h = Volumen de renovación de Aire por Hora </t>
  </si>
  <si>
    <t>V= Volumen de la Vivienda</t>
  </si>
  <si>
    <t>D= Densidad del Aire Kg/m3</t>
  </si>
  <si>
    <t>Tº</t>
  </si>
  <si>
    <t>ACH/h</t>
  </si>
  <si>
    <t>Cp= Calor específico elemento</t>
  </si>
  <si>
    <t>D(m/v)</t>
  </si>
  <si>
    <t>Perdidas por Calculos de Energía Consumida</t>
  </si>
  <si>
    <t>Grado/día</t>
  </si>
  <si>
    <t>Transformacion</t>
  </si>
  <si>
    <t>T Calef.</t>
  </si>
  <si>
    <t>Pérdidas por Cálculos de Energía Consumida</t>
  </si>
  <si>
    <t>Grados Días</t>
  </si>
  <si>
    <t>Kwatt/hora</t>
  </si>
  <si>
    <t>de transmición por Ventilación Kwatt/hora/día</t>
  </si>
  <si>
    <t>Mes(días)</t>
  </si>
  <si>
    <t>de transmición por Ventilación Kwatt/hora/mensual</t>
  </si>
  <si>
    <t>Cant. M2 vidrio x Sup.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</si>
</sst>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000"/>
    <numFmt numFmtId="165" formatCode="0.0000"/>
    <numFmt numFmtId="166" formatCode="0.00000000"/>
    <numFmt numFmtId="167" formatCode="0.0000000"/>
    <numFmt numFmtId="168" formatCode="0.000000"/>
    <numFmt numFmtId="169" formatCode="0.000"/>
    <numFmt numFmtId="170" formatCode="0.0"/>
  </numFmts>
  <fonts count="34">
    <font>
      <sz val="10"/>
      <name val="Arial"/>
      <family val="0"/>
    </font>
    <font>
      <sz val="12"/>
      <name val="Swis721 LtCn BT"/>
      <family val="2"/>
    </font>
    <font>
      <sz val="14"/>
      <name val="Swis721 LtCn BT"/>
      <family val="2"/>
    </font>
    <font>
      <b/>
      <sz val="18"/>
      <color indexed="10"/>
      <name val="Swis721 LtCn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Swis721 LtCn BT"/>
      <family val="2"/>
    </font>
    <font>
      <b/>
      <sz val="12"/>
      <name val="Swis721 LtCn BT"/>
      <family val="2"/>
    </font>
    <font>
      <b/>
      <sz val="12"/>
      <color indexed="12"/>
      <name val="Swis721 LtCn BT"/>
      <family val="2"/>
    </font>
    <font>
      <b/>
      <sz val="12"/>
      <color indexed="40"/>
      <name val="Swis721 LtCn BT"/>
      <family val="2"/>
    </font>
    <font>
      <b/>
      <sz val="12"/>
      <color indexed="8"/>
      <name val="Swis721 LtCn BT"/>
      <family val="2"/>
    </font>
    <font>
      <sz val="12"/>
      <color indexed="8"/>
      <name val="Swis721 LtCn BT"/>
      <family val="2"/>
    </font>
    <font>
      <sz val="18"/>
      <name val="Swis721 LtCn BT"/>
      <family val="2"/>
    </font>
    <font>
      <b/>
      <sz val="18"/>
      <color indexed="10"/>
      <name val="Swis721 Cn BT"/>
      <family val="2"/>
    </font>
    <font>
      <sz val="11"/>
      <color indexed="10"/>
      <name val="Swis721 Cn BT"/>
      <family val="2"/>
    </font>
    <font>
      <sz val="11"/>
      <name val="Swis721 Cn BT"/>
      <family val="2"/>
    </font>
    <font>
      <b/>
      <sz val="11"/>
      <color indexed="12"/>
      <name val="Swis721 Cn BT"/>
      <family val="2"/>
    </font>
    <font>
      <b/>
      <sz val="11"/>
      <color indexed="10"/>
      <name val="Swis721 Cn BT"/>
      <family val="2"/>
    </font>
    <font>
      <b/>
      <sz val="16"/>
      <color indexed="10"/>
      <name val="Swis721 LtCn BT"/>
      <family val="2"/>
    </font>
    <font>
      <b/>
      <sz val="10"/>
      <name val="Swis721 LtCn BT"/>
      <family val="2"/>
    </font>
    <font>
      <sz val="10"/>
      <name val="Swis721 LtCn BT"/>
      <family val="2"/>
    </font>
    <font>
      <sz val="10"/>
      <color indexed="10"/>
      <name val="Swis721 LtCn BT"/>
      <family val="2"/>
    </font>
    <font>
      <sz val="10"/>
      <color indexed="12"/>
      <name val="Swis721 LtCn BT"/>
      <family val="2"/>
    </font>
    <font>
      <sz val="10"/>
      <color indexed="8"/>
      <name val="Swis721 LtCn BT"/>
      <family val="2"/>
    </font>
    <font>
      <sz val="12"/>
      <color indexed="10"/>
      <name val="Swis721 LtCn BT"/>
      <family val="2"/>
    </font>
    <font>
      <b/>
      <sz val="18"/>
      <color indexed="12"/>
      <name val="Swis721 LtCn BT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10"/>
      <name val="Swis721 LtCn BT"/>
      <family val="2"/>
    </font>
    <font>
      <b/>
      <sz val="10"/>
      <color indexed="10"/>
      <name val="Swis721 LtCn BT"/>
      <family val="2"/>
    </font>
    <font>
      <b/>
      <sz val="10"/>
      <color indexed="12"/>
      <name val="Swis721 LtCn BT"/>
      <family val="2"/>
    </font>
    <font>
      <b/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/>
    </xf>
    <xf numFmtId="0" fontId="17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2" fontId="17" fillId="2" borderId="6" xfId="0" applyNumberFormat="1" applyFont="1" applyFill="1" applyBorder="1" applyAlignment="1">
      <alignment horizontal="center"/>
    </xf>
    <xf numFmtId="1" fontId="17" fillId="2" borderId="6" xfId="0" applyNumberFormat="1" applyFont="1" applyFill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1" xfId="0" applyFont="1" applyBorder="1" applyAlignment="1">
      <alignment/>
    </xf>
    <xf numFmtId="0" fontId="17" fillId="3" borderId="11" xfId="0" applyFont="1" applyFill="1" applyBorder="1" applyAlignment="1">
      <alignment horizontal="center"/>
    </xf>
    <xf numFmtId="1" fontId="18" fillId="3" borderId="1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/>
    </xf>
    <xf numFmtId="0" fontId="17" fillId="2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2" fontId="18" fillId="2" borderId="13" xfId="0" applyNumberFormat="1" applyFont="1" applyFill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169" fontId="9" fillId="2" borderId="9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7" fillId="5" borderId="18" xfId="0" applyFont="1" applyFill="1" applyBorder="1" applyAlignment="1">
      <alignment horizontal="center"/>
    </xf>
    <xf numFmtId="165" fontId="9" fillId="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9" fontId="9" fillId="2" borderId="14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/>
    </xf>
    <xf numFmtId="2" fontId="22" fillId="6" borderId="1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170" fontId="9" fillId="2" borderId="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70" fontId="7" fillId="2" borderId="19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1" fillId="4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2" fontId="23" fillId="5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169" fontId="9" fillId="2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B229"/>
  <sheetViews>
    <sheetView tabSelected="1" workbookViewId="0" topLeftCell="H16">
      <selection activeCell="D70" sqref="D70"/>
    </sheetView>
  </sheetViews>
  <sheetFormatPr defaultColWidth="11.421875" defaultRowHeight="12.75"/>
  <cols>
    <col min="1" max="1" width="11.421875" style="1" customWidth="1"/>
    <col min="2" max="2" width="17.140625" style="1" customWidth="1"/>
    <col min="3" max="3" width="14.8515625" style="1" customWidth="1"/>
    <col min="4" max="4" width="10.8515625" style="1" customWidth="1"/>
    <col min="5" max="5" width="9.8515625" style="1" customWidth="1"/>
    <col min="6" max="6" width="12.140625" style="1" customWidth="1"/>
    <col min="7" max="7" width="13.00390625" style="1" customWidth="1"/>
    <col min="8" max="8" width="10.8515625" style="1" customWidth="1"/>
    <col min="9" max="9" width="12.57421875" style="1" customWidth="1"/>
    <col min="10" max="10" width="11.421875" style="1" customWidth="1"/>
    <col min="11" max="11" width="21.421875" style="1" customWidth="1"/>
    <col min="12" max="12" width="11.8515625" style="1" customWidth="1"/>
    <col min="13" max="13" width="11.421875" style="1" customWidth="1"/>
    <col min="14" max="14" width="11.00390625" style="1" customWidth="1"/>
    <col min="15" max="15" width="16.421875" style="1" customWidth="1"/>
    <col min="16" max="16" width="16.7109375" style="1" customWidth="1"/>
    <col min="17" max="17" width="17.421875" style="1" customWidth="1"/>
    <col min="18" max="18" width="10.140625" style="1" customWidth="1"/>
    <col min="19" max="22" width="11.421875" style="1" customWidth="1"/>
    <col min="23" max="24" width="11.421875" style="2" customWidth="1"/>
    <col min="25" max="26" width="11.421875" style="1" customWidth="1"/>
  </cols>
  <sheetData>
    <row r="1" ht="18"/>
    <row r="2" ht="18"/>
    <row r="3" spans="2:4" ht="23.25">
      <c r="B3" s="3" t="s">
        <v>20</v>
      </c>
      <c r="C3" s="3"/>
      <c r="D3" s="4"/>
    </row>
    <row r="4" spans="2:4" ht="18.75" thickBot="1">
      <c r="B4" s="4"/>
      <c r="C4" s="4"/>
      <c r="D4" s="4"/>
    </row>
    <row r="5" spans="2:6" ht="18.75" thickBot="1">
      <c r="B5" s="5" t="s">
        <v>8</v>
      </c>
      <c r="C5" s="6" t="s">
        <v>13</v>
      </c>
      <c r="D5" s="6"/>
      <c r="E5" s="6"/>
      <c r="F5" s="6"/>
    </row>
    <row r="6" spans="2:6" ht="18">
      <c r="B6" s="7" t="s">
        <v>1</v>
      </c>
      <c r="C6" s="6" t="s">
        <v>0</v>
      </c>
      <c r="D6" s="6"/>
      <c r="E6" s="6"/>
      <c r="F6" s="6"/>
    </row>
    <row r="7" spans="2:6" ht="18">
      <c r="B7" s="8" t="s">
        <v>2</v>
      </c>
      <c r="C7" s="6" t="s">
        <v>3</v>
      </c>
      <c r="D7" s="6"/>
      <c r="E7" s="6"/>
      <c r="F7" s="6"/>
    </row>
    <row r="8" spans="2:15" ht="20.25">
      <c r="B8" s="9" t="s">
        <v>4</v>
      </c>
      <c r="C8" s="10" t="s">
        <v>12</v>
      </c>
      <c r="D8" s="10"/>
      <c r="E8" s="10"/>
      <c r="F8" s="10"/>
      <c r="K8" s="44" t="s">
        <v>36</v>
      </c>
      <c r="L8" s="4"/>
      <c r="M8" s="4"/>
      <c r="N8" s="4"/>
      <c r="O8" s="4"/>
    </row>
    <row r="9" spans="2:6" ht="18">
      <c r="B9" s="9" t="s">
        <v>5</v>
      </c>
      <c r="C9" s="10" t="s">
        <v>12</v>
      </c>
      <c r="D9" s="10"/>
      <c r="E9" s="10"/>
      <c r="F9" s="10" t="s">
        <v>6</v>
      </c>
    </row>
    <row r="10" spans="11:24" ht="15.75">
      <c r="K10" s="45" t="s">
        <v>7</v>
      </c>
      <c r="L10" s="46" t="s">
        <v>37</v>
      </c>
      <c r="M10" s="46" t="s">
        <v>38</v>
      </c>
      <c r="N10" s="46" t="s">
        <v>111</v>
      </c>
      <c r="O10" s="46" t="s">
        <v>110</v>
      </c>
      <c r="Q10" s="1" t="s">
        <v>119</v>
      </c>
      <c r="R10" s="1" t="s">
        <v>120</v>
      </c>
      <c r="S10" s="1" t="s">
        <v>121</v>
      </c>
      <c r="T10" s="1" t="s">
        <v>122</v>
      </c>
      <c r="U10" s="1" t="s">
        <v>123</v>
      </c>
      <c r="V10" s="1" t="s">
        <v>124</v>
      </c>
      <c r="W10" s="1" t="s">
        <v>125</v>
      </c>
      <c r="X10" s="1"/>
    </row>
    <row r="11" spans="11:24" ht="15.75">
      <c r="K11" s="45"/>
      <c r="L11" s="45" t="s">
        <v>39</v>
      </c>
      <c r="M11" s="45" t="s">
        <v>40</v>
      </c>
      <c r="N11" s="45" t="s">
        <v>41</v>
      </c>
      <c r="O11" s="45" t="s">
        <v>42</v>
      </c>
      <c r="Q11" s="1" t="s">
        <v>126</v>
      </c>
      <c r="R11" s="1" t="s">
        <v>127</v>
      </c>
      <c r="T11" s="1" t="s">
        <v>128</v>
      </c>
      <c r="U11" s="1" t="s">
        <v>129</v>
      </c>
      <c r="V11" s="1" t="s">
        <v>130</v>
      </c>
      <c r="W11" s="1"/>
      <c r="X11" s="1"/>
    </row>
    <row r="12" spans="17:24" ht="15.75" thickBot="1">
      <c r="Q12" s="1" t="s">
        <v>131</v>
      </c>
      <c r="R12" s="1">
        <v>13</v>
      </c>
      <c r="S12" s="1" t="s">
        <v>132</v>
      </c>
      <c r="T12" s="1" t="s">
        <v>133</v>
      </c>
      <c r="U12" s="1" t="s">
        <v>134</v>
      </c>
      <c r="V12" s="1" t="s">
        <v>135</v>
      </c>
      <c r="W12" s="1" t="s">
        <v>136</v>
      </c>
      <c r="X12" s="1"/>
    </row>
    <row r="13" spans="2:24" ht="15.75">
      <c r="B13" s="91" t="s">
        <v>7</v>
      </c>
      <c r="C13" s="92" t="s">
        <v>118</v>
      </c>
      <c r="D13" s="93" t="s">
        <v>17</v>
      </c>
      <c r="E13" s="92" t="s">
        <v>18</v>
      </c>
      <c r="F13" s="94" t="s">
        <v>4</v>
      </c>
      <c r="G13" s="94" t="s">
        <v>5</v>
      </c>
      <c r="H13" s="95"/>
      <c r="I13" s="96" t="s">
        <v>8</v>
      </c>
      <c r="K13" s="67" t="s">
        <v>43</v>
      </c>
      <c r="L13" s="70">
        <v>58</v>
      </c>
      <c r="M13" s="55">
        <v>7850</v>
      </c>
      <c r="N13" s="56">
        <v>500</v>
      </c>
      <c r="O13" s="57">
        <v>0</v>
      </c>
      <c r="Q13" s="1" t="s">
        <v>137</v>
      </c>
      <c r="R13" s="1">
        <v>17</v>
      </c>
      <c r="S13" s="1" t="s">
        <v>138</v>
      </c>
      <c r="T13" s="1" t="s">
        <v>139</v>
      </c>
      <c r="U13" s="1" t="s">
        <v>140</v>
      </c>
      <c r="V13" s="1" t="s">
        <v>141</v>
      </c>
      <c r="W13" s="1" t="s">
        <v>136</v>
      </c>
      <c r="X13" s="1"/>
    </row>
    <row r="14" spans="2:24" ht="15.75">
      <c r="B14" s="68" t="s">
        <v>9</v>
      </c>
      <c r="C14" s="90">
        <v>14.5</v>
      </c>
      <c r="D14" s="51">
        <f>L64</f>
        <v>0.46</v>
      </c>
      <c r="E14" s="50">
        <f>(C14/100)/D14</f>
        <v>0.3152173913043478</v>
      </c>
      <c r="F14" s="89">
        <f>1/10</f>
        <v>0.1</v>
      </c>
      <c r="G14" s="89">
        <f>1/20</f>
        <v>0.05</v>
      </c>
      <c r="H14" s="51"/>
      <c r="I14" s="97">
        <f>1/(F14+E21+G14)</f>
        <v>0.3292026476965801</v>
      </c>
      <c r="K14" s="68" t="s">
        <v>44</v>
      </c>
      <c r="L14" s="71">
        <v>0.9</v>
      </c>
      <c r="M14" s="58">
        <v>1500</v>
      </c>
      <c r="N14" s="51">
        <v>900</v>
      </c>
      <c r="O14" s="59">
        <v>0</v>
      </c>
      <c r="Q14" s="1" t="s">
        <v>142</v>
      </c>
      <c r="R14" s="1">
        <v>16</v>
      </c>
      <c r="S14" s="1" t="s">
        <v>143</v>
      </c>
      <c r="T14" s="1" t="s">
        <v>144</v>
      </c>
      <c r="U14" s="1" t="s">
        <v>145</v>
      </c>
      <c r="V14" s="1" t="s">
        <v>146</v>
      </c>
      <c r="W14" s="1" t="s">
        <v>136</v>
      </c>
      <c r="X14" s="1"/>
    </row>
    <row r="15" spans="2:24" ht="15.75">
      <c r="B15" s="68" t="s">
        <v>10</v>
      </c>
      <c r="C15" s="90">
        <v>11</v>
      </c>
      <c r="D15" s="51">
        <f>L81</f>
        <v>0.043</v>
      </c>
      <c r="E15" s="50">
        <f>(C15/100)/D15</f>
        <v>2.558139534883721</v>
      </c>
      <c r="F15" s="51"/>
      <c r="G15" s="51"/>
      <c r="H15" s="51"/>
      <c r="I15" s="98"/>
      <c r="K15" s="68" t="s">
        <v>45</v>
      </c>
      <c r="L15" s="71">
        <v>1.4</v>
      </c>
      <c r="M15" s="58">
        <v>2000</v>
      </c>
      <c r="N15" s="51">
        <v>880</v>
      </c>
      <c r="O15" s="59">
        <v>0</v>
      </c>
      <c r="Q15" s="1" t="s">
        <v>147</v>
      </c>
      <c r="R15" s="1">
        <v>13</v>
      </c>
      <c r="S15" s="1" t="s">
        <v>148</v>
      </c>
      <c r="T15" s="1" t="s">
        <v>149</v>
      </c>
      <c r="U15" s="1" t="s">
        <v>150</v>
      </c>
      <c r="V15" s="1" t="s">
        <v>151</v>
      </c>
      <c r="W15" s="1" t="s">
        <v>152</v>
      </c>
      <c r="X15" s="1"/>
    </row>
    <row r="16" spans="2:24" ht="15.75">
      <c r="B16" s="68" t="s">
        <v>11</v>
      </c>
      <c r="C16" s="90">
        <v>2</v>
      </c>
      <c r="D16" s="51">
        <f>L37</f>
        <v>1.4</v>
      </c>
      <c r="E16" s="50">
        <f>(C16/100)/D16</f>
        <v>0.014285714285714287</v>
      </c>
      <c r="F16" s="51"/>
      <c r="G16" s="51"/>
      <c r="H16" s="51"/>
      <c r="I16" s="59"/>
      <c r="K16" s="68" t="s">
        <v>46</v>
      </c>
      <c r="L16" s="71">
        <v>1.4</v>
      </c>
      <c r="M16" s="58">
        <v>2000</v>
      </c>
      <c r="N16" s="51">
        <v>880</v>
      </c>
      <c r="O16" s="59">
        <v>0</v>
      </c>
      <c r="Q16" s="1" t="s">
        <v>153</v>
      </c>
      <c r="R16" s="1">
        <v>15</v>
      </c>
      <c r="S16" s="1" t="s">
        <v>154</v>
      </c>
      <c r="U16" s="1" t="s">
        <v>155</v>
      </c>
      <c r="W16" s="1" t="s">
        <v>152</v>
      </c>
      <c r="X16" s="1"/>
    </row>
    <row r="17" spans="2:24" ht="15.75">
      <c r="B17" s="68" t="s">
        <v>184</v>
      </c>
      <c r="C17" s="51"/>
      <c r="D17" s="51"/>
      <c r="E17" s="50"/>
      <c r="F17" s="51"/>
      <c r="G17" s="51"/>
      <c r="H17" s="51"/>
      <c r="I17" s="59"/>
      <c r="K17" s="68" t="s">
        <v>47</v>
      </c>
      <c r="L17" s="71">
        <v>0.091</v>
      </c>
      <c r="M17" s="58">
        <v>380</v>
      </c>
      <c r="N17" s="51">
        <v>1300</v>
      </c>
      <c r="O17" s="59">
        <v>0</v>
      </c>
      <c r="Q17" s="1" t="s">
        <v>156</v>
      </c>
      <c r="R17" s="1">
        <v>17</v>
      </c>
      <c r="S17" s="1" t="s">
        <v>157</v>
      </c>
      <c r="U17" s="1" t="s">
        <v>158</v>
      </c>
      <c r="V17" s="1" t="s">
        <v>151</v>
      </c>
      <c r="W17" s="1" t="s">
        <v>152</v>
      </c>
      <c r="X17" s="1"/>
    </row>
    <row r="18" spans="2:24" ht="15.75">
      <c r="B18" s="99"/>
      <c r="C18" s="51"/>
      <c r="D18" s="51"/>
      <c r="E18" s="50"/>
      <c r="F18" s="51"/>
      <c r="G18" s="51"/>
      <c r="H18" s="51"/>
      <c r="I18" s="59"/>
      <c r="K18" s="68" t="s">
        <v>48</v>
      </c>
      <c r="L18" s="71">
        <v>0.134</v>
      </c>
      <c r="M18" s="58">
        <v>560</v>
      </c>
      <c r="N18" s="51">
        <v>1350</v>
      </c>
      <c r="O18" s="59">
        <v>0</v>
      </c>
      <c r="W18" s="1"/>
      <c r="X18" s="1"/>
    </row>
    <row r="19" spans="2:24" ht="15.75">
      <c r="B19" s="99"/>
      <c r="C19" s="51"/>
      <c r="D19" s="51"/>
      <c r="E19" s="50"/>
      <c r="F19" s="51"/>
      <c r="G19" s="51"/>
      <c r="H19" s="51"/>
      <c r="I19" s="59"/>
      <c r="K19" s="68" t="s">
        <v>49</v>
      </c>
      <c r="L19" s="71">
        <v>0.05</v>
      </c>
      <c r="M19" s="58">
        <v>1000</v>
      </c>
      <c r="N19" s="51">
        <v>900</v>
      </c>
      <c r="O19" s="59">
        <v>0</v>
      </c>
      <c r="W19" s="1"/>
      <c r="X19" s="1"/>
    </row>
    <row r="20" spans="2:24" ht="16.5" thickBot="1">
      <c r="B20" s="99"/>
      <c r="C20" s="51"/>
      <c r="D20" s="51"/>
      <c r="E20" s="50"/>
      <c r="F20" s="51"/>
      <c r="G20" s="51"/>
      <c r="H20" s="51"/>
      <c r="I20" s="59"/>
      <c r="K20" s="68" t="s">
        <v>50</v>
      </c>
      <c r="L20" s="71">
        <v>210</v>
      </c>
      <c r="M20" s="58">
        <v>2700</v>
      </c>
      <c r="N20" s="51">
        <v>500</v>
      </c>
      <c r="O20" s="59">
        <v>0</v>
      </c>
      <c r="Q20" s="54" t="s">
        <v>168</v>
      </c>
      <c r="R20" s="48"/>
      <c r="S20" s="48"/>
      <c r="T20" s="48"/>
      <c r="U20" s="48"/>
      <c r="V20" s="48"/>
      <c r="W20" s="48"/>
      <c r="X20" s="1"/>
    </row>
    <row r="21" spans="2:24" ht="16.5" thickBot="1">
      <c r="B21" s="100"/>
      <c r="C21" s="52"/>
      <c r="D21" s="52"/>
      <c r="E21" s="101">
        <f>SUM(E14:E20)</f>
        <v>2.887642640473783</v>
      </c>
      <c r="F21" s="52"/>
      <c r="G21" s="52"/>
      <c r="H21" s="52"/>
      <c r="I21" s="62"/>
      <c r="K21" s="68" t="s">
        <v>51</v>
      </c>
      <c r="L21" s="71">
        <v>0.93</v>
      </c>
      <c r="M21" s="58">
        <v>2100</v>
      </c>
      <c r="N21" s="51">
        <v>1000</v>
      </c>
      <c r="O21" s="59">
        <v>0</v>
      </c>
      <c r="Q21" s="63" t="s">
        <v>163</v>
      </c>
      <c r="R21" s="64" t="s">
        <v>164</v>
      </c>
      <c r="S21" s="64" t="s">
        <v>165</v>
      </c>
      <c r="T21" s="151" t="s">
        <v>169</v>
      </c>
      <c r="U21" s="152"/>
      <c r="V21" s="64" t="s">
        <v>166</v>
      </c>
      <c r="W21" s="65" t="s">
        <v>167</v>
      </c>
      <c r="X21" s="1"/>
    </row>
    <row r="22" spans="2:54" ht="23.25">
      <c r="B22" s="43"/>
      <c r="C22" s="12"/>
      <c r="D22" s="12"/>
      <c r="E22" s="16"/>
      <c r="F22" s="12"/>
      <c r="G22" s="12"/>
      <c r="H22" s="12"/>
      <c r="I22" s="12"/>
      <c r="K22" s="68" t="s">
        <v>52</v>
      </c>
      <c r="L22" s="71">
        <v>0.09</v>
      </c>
      <c r="M22" s="58">
        <v>300</v>
      </c>
      <c r="N22" s="51">
        <v>1000</v>
      </c>
      <c r="O22" s="59">
        <v>0</v>
      </c>
      <c r="Q22" s="58">
        <v>0.6</v>
      </c>
      <c r="R22" s="51">
        <v>0.4</v>
      </c>
      <c r="S22" s="51">
        <v>0.075</v>
      </c>
      <c r="T22" s="51"/>
      <c r="U22" s="51">
        <f aca="true" t="shared" si="0" ref="U22:U27">Q22*R22*S22</f>
        <v>0.018</v>
      </c>
      <c r="V22" s="49">
        <f aca="true" t="shared" si="1" ref="V22:V27">W22/U22</f>
        <v>722.2222222222223</v>
      </c>
      <c r="W22" s="59">
        <v>13</v>
      </c>
      <c r="X22" s="1"/>
      <c r="AU22" s="18" t="s">
        <v>23</v>
      </c>
      <c r="AV22" s="19"/>
      <c r="AW22" s="19"/>
      <c r="AX22" s="19"/>
      <c r="AY22" s="20"/>
      <c r="AZ22" s="20"/>
      <c r="BA22" s="20"/>
      <c r="BB22" s="20"/>
    </row>
    <row r="23" spans="2:54" ht="16.5" thickBot="1">
      <c r="B23" s="43"/>
      <c r="C23" s="12"/>
      <c r="D23" s="12"/>
      <c r="E23" s="16"/>
      <c r="F23" s="12"/>
      <c r="G23" s="12"/>
      <c r="H23" s="12"/>
      <c r="I23" s="12"/>
      <c r="K23" s="68" t="s">
        <v>53</v>
      </c>
      <c r="L23" s="71">
        <v>0.11</v>
      </c>
      <c r="M23" s="58">
        <v>450</v>
      </c>
      <c r="N23" s="51">
        <v>1000</v>
      </c>
      <c r="O23" s="59">
        <v>0</v>
      </c>
      <c r="Q23" s="58">
        <v>0.6</v>
      </c>
      <c r="R23" s="51">
        <v>0.4</v>
      </c>
      <c r="S23" s="51">
        <v>0.1</v>
      </c>
      <c r="T23" s="50"/>
      <c r="U23" s="51">
        <f t="shared" si="0"/>
        <v>0.024</v>
      </c>
      <c r="V23" s="49">
        <f t="shared" si="1"/>
        <v>708.3333333333334</v>
      </c>
      <c r="W23" s="59">
        <v>17</v>
      </c>
      <c r="X23" s="12"/>
      <c r="AU23" s="20"/>
      <c r="AV23" s="20"/>
      <c r="AW23" s="20"/>
      <c r="AX23" s="20"/>
      <c r="AY23" s="20"/>
      <c r="AZ23" s="20"/>
      <c r="BA23" s="20"/>
      <c r="BB23" s="20"/>
    </row>
    <row r="24" spans="2:54" ht="24" thickBot="1">
      <c r="B24" s="3" t="s">
        <v>20</v>
      </c>
      <c r="C24" s="3"/>
      <c r="D24" s="4"/>
      <c r="K24" s="68" t="s">
        <v>54</v>
      </c>
      <c r="L24" s="71">
        <v>58</v>
      </c>
      <c r="M24" s="58">
        <v>1500</v>
      </c>
      <c r="N24" s="51">
        <v>1000</v>
      </c>
      <c r="O24" s="59">
        <v>0</v>
      </c>
      <c r="Q24" s="58">
        <v>0.6</v>
      </c>
      <c r="R24" s="51">
        <v>0.3</v>
      </c>
      <c r="S24" s="51">
        <v>0.125</v>
      </c>
      <c r="T24" s="51"/>
      <c r="U24" s="51">
        <f t="shared" si="0"/>
        <v>0.0225</v>
      </c>
      <c r="V24" s="49">
        <f t="shared" si="1"/>
        <v>711.1111111111111</v>
      </c>
      <c r="W24" s="59">
        <v>16</v>
      </c>
      <c r="X24" s="12"/>
      <c r="AU24" s="21" t="s">
        <v>24</v>
      </c>
      <c r="AV24" s="22" t="s">
        <v>14</v>
      </c>
      <c r="AW24" s="22" t="s">
        <v>15</v>
      </c>
      <c r="AX24" s="22" t="s">
        <v>25</v>
      </c>
      <c r="AY24" s="22" t="s">
        <v>26</v>
      </c>
      <c r="AZ24" s="22" t="s">
        <v>27</v>
      </c>
      <c r="BA24" s="23" t="s">
        <v>28</v>
      </c>
      <c r="BB24" s="23" t="s">
        <v>33</v>
      </c>
    </row>
    <row r="25" spans="2:54" ht="16.5" thickBot="1">
      <c r="B25" s="4"/>
      <c r="C25" s="4"/>
      <c r="D25" s="4"/>
      <c r="K25" s="68" t="s">
        <v>55</v>
      </c>
      <c r="L25" s="71">
        <v>0.06</v>
      </c>
      <c r="M25" s="58">
        <v>190</v>
      </c>
      <c r="N25" s="51">
        <v>1450</v>
      </c>
      <c r="O25" s="59">
        <v>0</v>
      </c>
      <c r="Q25" s="58">
        <v>0.6</v>
      </c>
      <c r="R25" s="51">
        <v>0.2</v>
      </c>
      <c r="S25" s="51">
        <v>0.15</v>
      </c>
      <c r="T25" s="60"/>
      <c r="U25" s="51">
        <f t="shared" si="0"/>
        <v>0.018</v>
      </c>
      <c r="V25" s="49">
        <f t="shared" si="1"/>
        <v>722.2222222222223</v>
      </c>
      <c r="W25" s="59">
        <v>13</v>
      </c>
      <c r="X25" s="1"/>
      <c r="AU25" s="24"/>
      <c r="AV25" s="25">
        <v>10</v>
      </c>
      <c r="AW25" s="25">
        <v>5</v>
      </c>
      <c r="AX25" s="25">
        <v>2.5</v>
      </c>
      <c r="AY25" s="25">
        <v>0</v>
      </c>
      <c r="AZ25" s="26">
        <f>(AV25+AW25)*2*AX25-AY25</f>
        <v>75</v>
      </c>
      <c r="BA25" s="27">
        <f>AZ25/AZ28</f>
        <v>25.194840096748187</v>
      </c>
      <c r="BB25" s="28">
        <v>16990</v>
      </c>
    </row>
    <row r="26" spans="2:54" ht="16.5" thickBot="1">
      <c r="B26" s="91" t="s">
        <v>7</v>
      </c>
      <c r="C26" s="92" t="s">
        <v>118</v>
      </c>
      <c r="D26" s="93" t="s">
        <v>17</v>
      </c>
      <c r="E26" s="92" t="s">
        <v>18</v>
      </c>
      <c r="F26" s="94" t="s">
        <v>4</v>
      </c>
      <c r="G26" s="94" t="s">
        <v>5</v>
      </c>
      <c r="H26" s="95"/>
      <c r="I26" s="96" t="s">
        <v>8</v>
      </c>
      <c r="K26" s="68" t="s">
        <v>56</v>
      </c>
      <c r="L26" s="71">
        <v>0.7</v>
      </c>
      <c r="M26" s="58">
        <v>1700</v>
      </c>
      <c r="N26" s="51">
        <v>1000</v>
      </c>
      <c r="O26" s="59">
        <v>0</v>
      </c>
      <c r="Q26" s="58">
        <v>0.6</v>
      </c>
      <c r="R26" s="51">
        <v>0.2</v>
      </c>
      <c r="S26" s="51">
        <v>0.175</v>
      </c>
      <c r="T26" s="60"/>
      <c r="U26" s="51">
        <f t="shared" si="0"/>
        <v>0.020999999999999998</v>
      </c>
      <c r="V26" s="49">
        <f t="shared" si="1"/>
        <v>714.2857142857143</v>
      </c>
      <c r="W26" s="59">
        <v>15</v>
      </c>
      <c r="X26" s="1"/>
      <c r="AU26" s="29"/>
      <c r="AV26" s="30"/>
      <c r="AW26" s="30"/>
      <c r="AX26" s="30"/>
      <c r="AY26" s="30"/>
      <c r="AZ26" s="30"/>
      <c r="BA26" s="31"/>
      <c r="BB26" s="32"/>
    </row>
    <row r="27" spans="2:54" ht="16.5" thickBot="1">
      <c r="B27" s="68" t="s">
        <v>9</v>
      </c>
      <c r="C27" s="90">
        <v>15</v>
      </c>
      <c r="D27" s="51">
        <v>0.5</v>
      </c>
      <c r="E27" s="50">
        <f>(C27/100)/D27</f>
        <v>0.3</v>
      </c>
      <c r="F27" s="89">
        <f>1/10</f>
        <v>0.1</v>
      </c>
      <c r="G27" s="89">
        <f>1/20</f>
        <v>0.05</v>
      </c>
      <c r="H27" s="51"/>
      <c r="I27" s="97">
        <f>1/(F27+E35+G27)</f>
        <v>0.3367003367003367</v>
      </c>
      <c r="K27" s="68" t="s">
        <v>57</v>
      </c>
      <c r="L27" s="71">
        <v>1.05</v>
      </c>
      <c r="M27" s="58">
        <v>1200</v>
      </c>
      <c r="N27" s="51">
        <v>1000</v>
      </c>
      <c r="O27" s="59">
        <v>0</v>
      </c>
      <c r="Q27" s="61">
        <v>0.6</v>
      </c>
      <c r="R27" s="52">
        <v>0.2</v>
      </c>
      <c r="S27" s="52">
        <v>0.2</v>
      </c>
      <c r="T27" s="52"/>
      <c r="U27" s="52">
        <f t="shared" si="0"/>
        <v>0.024</v>
      </c>
      <c r="V27" s="53">
        <f t="shared" si="1"/>
        <v>708.3333333333334</v>
      </c>
      <c r="W27" s="62">
        <v>17</v>
      </c>
      <c r="X27" s="1"/>
      <c r="AU27" s="21" t="s">
        <v>29</v>
      </c>
      <c r="AV27" s="22" t="s">
        <v>14</v>
      </c>
      <c r="AW27" s="22" t="s">
        <v>15</v>
      </c>
      <c r="AX27" s="22" t="s">
        <v>30</v>
      </c>
      <c r="AY27" s="33"/>
      <c r="AZ27" s="34" t="s">
        <v>31</v>
      </c>
      <c r="BA27" s="35" t="s">
        <v>32</v>
      </c>
      <c r="BB27" s="36">
        <f>BB25*BA25</f>
        <v>428060.3332437517</v>
      </c>
    </row>
    <row r="28" spans="2:54" ht="16.5" thickBot="1">
      <c r="B28" s="68" t="s">
        <v>10</v>
      </c>
      <c r="C28" s="90">
        <v>10</v>
      </c>
      <c r="D28" s="51">
        <v>0.04</v>
      </c>
      <c r="E28" s="50">
        <f>(C28/100)/D28</f>
        <v>2.5</v>
      </c>
      <c r="F28" s="51"/>
      <c r="G28" s="51"/>
      <c r="H28" s="51"/>
      <c r="I28" s="98"/>
      <c r="K28" s="68" t="s">
        <v>58</v>
      </c>
      <c r="L28" s="71">
        <v>1.75</v>
      </c>
      <c r="M28" s="58">
        <v>1000</v>
      </c>
      <c r="N28" s="51">
        <v>1000</v>
      </c>
      <c r="O28" s="59">
        <v>0</v>
      </c>
      <c r="W28" s="1"/>
      <c r="X28" s="1"/>
      <c r="AU28" s="37"/>
      <c r="AV28" s="38">
        <v>2.44</v>
      </c>
      <c r="AW28" s="38">
        <v>1.22</v>
      </c>
      <c r="AX28" s="38">
        <v>14</v>
      </c>
      <c r="AY28" s="39"/>
      <c r="AZ28" s="40">
        <f>AV28*AW28</f>
        <v>2.9768</v>
      </c>
      <c r="BA28" s="41"/>
      <c r="BB28" s="42"/>
    </row>
    <row r="29" spans="2:24" ht="15.75">
      <c r="B29" s="68" t="s">
        <v>11</v>
      </c>
      <c r="C29" s="90">
        <v>3</v>
      </c>
      <c r="D29" s="51">
        <v>1.5</v>
      </c>
      <c r="E29" s="50">
        <f>(C29/100)/D29</f>
        <v>0.02</v>
      </c>
      <c r="F29" s="51"/>
      <c r="G29" s="51"/>
      <c r="H29" s="51"/>
      <c r="I29" s="59"/>
      <c r="K29" s="68" t="s">
        <v>59</v>
      </c>
      <c r="L29" s="71">
        <v>0.16</v>
      </c>
      <c r="M29" s="58">
        <v>603</v>
      </c>
      <c r="N29" s="51">
        <v>1000</v>
      </c>
      <c r="O29" s="59">
        <v>0</v>
      </c>
      <c r="W29" s="1"/>
      <c r="X29" s="1"/>
    </row>
    <row r="30" spans="2:24" ht="16.5" thickBot="1">
      <c r="B30" s="99"/>
      <c r="C30" s="51"/>
      <c r="D30" s="51"/>
      <c r="E30" s="102"/>
      <c r="F30" s="51"/>
      <c r="G30" s="51"/>
      <c r="H30" s="51"/>
      <c r="I30" s="59"/>
      <c r="K30" s="68" t="s">
        <v>60</v>
      </c>
      <c r="L30" s="71">
        <v>0.85</v>
      </c>
      <c r="M30" s="58">
        <v>950</v>
      </c>
      <c r="N30" s="51">
        <v>1000</v>
      </c>
      <c r="O30" s="59">
        <v>0</v>
      </c>
      <c r="Q30" s="1" t="s">
        <v>170</v>
      </c>
      <c r="W30" s="1"/>
      <c r="X30" s="1"/>
    </row>
    <row r="31" spans="2:24" ht="15.75">
      <c r="B31" s="99"/>
      <c r="C31" s="51"/>
      <c r="D31" s="51"/>
      <c r="E31" s="50"/>
      <c r="F31" s="51"/>
      <c r="G31" s="51"/>
      <c r="H31" s="51"/>
      <c r="I31" s="59"/>
      <c r="K31" s="68" t="s">
        <v>61</v>
      </c>
      <c r="L31" s="71">
        <v>380</v>
      </c>
      <c r="M31" s="58">
        <v>8930</v>
      </c>
      <c r="N31" s="51">
        <v>1000</v>
      </c>
      <c r="O31" s="59">
        <v>0</v>
      </c>
      <c r="Q31" s="1" t="s">
        <v>173</v>
      </c>
      <c r="R31" s="1" t="s">
        <v>171</v>
      </c>
      <c r="S31" s="1" t="s">
        <v>172</v>
      </c>
      <c r="T31" s="151" t="s">
        <v>169</v>
      </c>
      <c r="U31" s="152"/>
      <c r="V31" s="64" t="s">
        <v>166</v>
      </c>
      <c r="W31" s="65" t="s">
        <v>167</v>
      </c>
      <c r="X31" s="1"/>
    </row>
    <row r="32" spans="2:24" ht="15.75">
      <c r="B32" s="99"/>
      <c r="C32" s="51"/>
      <c r="D32" s="51"/>
      <c r="E32" s="50"/>
      <c r="F32" s="51"/>
      <c r="G32" s="51"/>
      <c r="H32" s="51"/>
      <c r="I32" s="59"/>
      <c r="K32" s="68" t="s">
        <v>62</v>
      </c>
      <c r="L32" s="71">
        <v>0.145</v>
      </c>
      <c r="M32" s="58">
        <v>670</v>
      </c>
      <c r="N32" s="51">
        <v>1300</v>
      </c>
      <c r="O32" s="59">
        <v>0</v>
      </c>
      <c r="Q32" s="1">
        <v>0.075</v>
      </c>
      <c r="R32" s="1">
        <v>9.5</v>
      </c>
      <c r="S32" s="66">
        <v>0.44</v>
      </c>
      <c r="T32" s="51"/>
      <c r="U32" s="1">
        <v>0.075</v>
      </c>
      <c r="V32" s="49">
        <f>R32/U32</f>
        <v>126.66666666666667</v>
      </c>
      <c r="W32" s="1">
        <v>9.5</v>
      </c>
      <c r="X32" s="1"/>
    </row>
    <row r="33" spans="2:24" ht="15.75">
      <c r="B33" s="99"/>
      <c r="C33" s="51"/>
      <c r="D33" s="51"/>
      <c r="E33" s="50"/>
      <c r="F33" s="51"/>
      <c r="G33" s="51"/>
      <c r="H33" s="51"/>
      <c r="I33" s="59"/>
      <c r="K33" s="68" t="s">
        <v>63</v>
      </c>
      <c r="L33" s="71">
        <v>0.15</v>
      </c>
      <c r="M33" s="58">
        <v>500</v>
      </c>
      <c r="N33" s="51">
        <v>1220</v>
      </c>
      <c r="O33" s="59">
        <v>0</v>
      </c>
      <c r="Q33" s="1">
        <v>0.1</v>
      </c>
      <c r="R33" s="1">
        <v>10</v>
      </c>
      <c r="S33" s="66">
        <v>0.33</v>
      </c>
      <c r="T33" s="50"/>
      <c r="U33" s="1">
        <v>0.1</v>
      </c>
      <c r="V33" s="49">
        <f>R33/U33</f>
        <v>100</v>
      </c>
      <c r="W33" s="1">
        <v>10</v>
      </c>
      <c r="X33" s="1"/>
    </row>
    <row r="34" spans="2:24" ht="15.75">
      <c r="B34" s="99"/>
      <c r="C34" s="51"/>
      <c r="D34" s="51"/>
      <c r="E34" s="50"/>
      <c r="F34" s="51"/>
      <c r="G34" s="51"/>
      <c r="H34" s="51"/>
      <c r="I34" s="59"/>
      <c r="K34" s="68" t="s">
        <v>64</v>
      </c>
      <c r="L34" s="71">
        <v>0.46</v>
      </c>
      <c r="M34" s="58">
        <v>1000</v>
      </c>
      <c r="N34" s="51">
        <v>920</v>
      </c>
      <c r="O34" s="59">
        <v>0</v>
      </c>
      <c r="P34" s="47"/>
      <c r="Q34" s="1">
        <v>0.12</v>
      </c>
      <c r="R34" s="1">
        <v>10.4</v>
      </c>
      <c r="S34" s="66">
        <v>0.27</v>
      </c>
      <c r="T34" s="51"/>
      <c r="U34" s="1">
        <v>0.12</v>
      </c>
      <c r="V34" s="49">
        <f>R34/U34</f>
        <v>86.66666666666667</v>
      </c>
      <c r="W34" s="1">
        <v>10.4</v>
      </c>
      <c r="X34" s="1"/>
    </row>
    <row r="35" spans="2:24" ht="16.5" thickBot="1">
      <c r="B35" s="100"/>
      <c r="C35" s="52"/>
      <c r="D35" s="52"/>
      <c r="E35" s="101">
        <f>SUM(E27:E34)</f>
        <v>2.82</v>
      </c>
      <c r="F35" s="52"/>
      <c r="G35" s="52"/>
      <c r="H35" s="52"/>
      <c r="I35" s="62"/>
      <c r="K35" s="68" t="s">
        <v>65</v>
      </c>
      <c r="L35" s="71">
        <v>0.44</v>
      </c>
      <c r="M35" s="58">
        <v>1500</v>
      </c>
      <c r="N35" s="51">
        <v>820</v>
      </c>
      <c r="O35" s="59">
        <v>0</v>
      </c>
      <c r="Q35" s="1">
        <v>0.15</v>
      </c>
      <c r="R35" s="1">
        <v>11</v>
      </c>
      <c r="S35" s="66">
        <v>0.22</v>
      </c>
      <c r="T35" s="60"/>
      <c r="U35" s="1">
        <v>0.15</v>
      </c>
      <c r="V35" s="49">
        <f>R35/U35</f>
        <v>73.33333333333334</v>
      </c>
      <c r="W35" s="1">
        <v>11</v>
      </c>
      <c r="X35" s="1"/>
    </row>
    <row r="36" spans="11:24" ht="15.75">
      <c r="K36" s="68" t="s">
        <v>66</v>
      </c>
      <c r="L36" s="71">
        <v>1.4</v>
      </c>
      <c r="M36" s="58">
        <v>2000</v>
      </c>
      <c r="N36" s="51">
        <v>880</v>
      </c>
      <c r="O36" s="59">
        <v>0</v>
      </c>
      <c r="Q36" s="1">
        <v>0.2</v>
      </c>
      <c r="R36" s="1">
        <v>12</v>
      </c>
      <c r="S36" s="66">
        <v>0.17</v>
      </c>
      <c r="T36" s="60"/>
      <c r="U36" s="1">
        <v>0.2</v>
      </c>
      <c r="V36" s="49">
        <f>R36/U36</f>
        <v>60</v>
      </c>
      <c r="W36" s="1">
        <v>12</v>
      </c>
      <c r="X36" s="1"/>
    </row>
    <row r="37" spans="10:24" ht="16.5" thickBot="1">
      <c r="J37" s="45"/>
      <c r="K37" s="68" t="s">
        <v>11</v>
      </c>
      <c r="L37" s="71">
        <v>1.4</v>
      </c>
      <c r="M37" s="58">
        <v>2000</v>
      </c>
      <c r="N37" s="51">
        <v>880</v>
      </c>
      <c r="O37" s="59">
        <v>0</v>
      </c>
      <c r="T37" s="52"/>
      <c r="U37" s="52"/>
      <c r="V37" s="53"/>
      <c r="W37" s="62"/>
      <c r="X37" s="1"/>
    </row>
    <row r="38" spans="2:24" ht="23.25">
      <c r="B38" s="3" t="s">
        <v>34</v>
      </c>
      <c r="C38" s="3"/>
      <c r="D38" s="4"/>
      <c r="J38" s="45"/>
      <c r="K38" s="68" t="s">
        <v>67</v>
      </c>
      <c r="L38" s="71">
        <v>0.062</v>
      </c>
      <c r="M38" s="58">
        <v>6</v>
      </c>
      <c r="N38" s="51">
        <v>700</v>
      </c>
      <c r="O38" s="59">
        <v>0</v>
      </c>
      <c r="W38" s="1"/>
      <c r="X38" s="1"/>
    </row>
    <row r="39" spans="2:24" ht="16.5" thickBot="1">
      <c r="B39" s="4"/>
      <c r="C39" s="4"/>
      <c r="D39" s="4"/>
      <c r="J39" s="45"/>
      <c r="K39" s="68" t="s">
        <v>68</v>
      </c>
      <c r="L39" s="71">
        <v>0.062</v>
      </c>
      <c r="M39" s="58">
        <v>8</v>
      </c>
      <c r="N39" s="51">
        <v>700</v>
      </c>
      <c r="O39" s="59">
        <v>0</v>
      </c>
      <c r="Q39" s="1" t="s">
        <v>179</v>
      </c>
      <c r="W39" s="1"/>
      <c r="X39" s="1"/>
    </row>
    <row r="40" spans="2:26" ht="15.75">
      <c r="B40" s="91" t="s">
        <v>7</v>
      </c>
      <c r="C40" s="92" t="s">
        <v>118</v>
      </c>
      <c r="D40" s="93" t="s">
        <v>17</v>
      </c>
      <c r="E40" s="92" t="s">
        <v>18</v>
      </c>
      <c r="F40" s="94" t="s">
        <v>4</v>
      </c>
      <c r="G40" s="94" t="s">
        <v>5</v>
      </c>
      <c r="H40" s="95"/>
      <c r="I40" s="96" t="s">
        <v>8</v>
      </c>
      <c r="J40" s="45"/>
      <c r="K40" s="68" t="s">
        <v>69</v>
      </c>
      <c r="L40" s="71">
        <v>0.062</v>
      </c>
      <c r="M40" s="58">
        <v>9</v>
      </c>
      <c r="N40" s="51">
        <v>700</v>
      </c>
      <c r="O40" s="59">
        <v>0</v>
      </c>
      <c r="P40"/>
      <c r="Q40" s="1" t="s">
        <v>173</v>
      </c>
      <c r="R40" s="1" t="s">
        <v>171</v>
      </c>
      <c r="S40" s="1" t="s">
        <v>172</v>
      </c>
      <c r="T40" s="151" t="s">
        <v>169</v>
      </c>
      <c r="U40" s="152"/>
      <c r="V40" s="64" t="s">
        <v>166</v>
      </c>
      <c r="W40" s="65" t="s">
        <v>167</v>
      </c>
      <c r="X40" s="1"/>
      <c r="Y40"/>
      <c r="Z40"/>
    </row>
    <row r="41" spans="2:26" ht="15.75">
      <c r="B41" s="68" t="s">
        <v>9</v>
      </c>
      <c r="C41" s="90">
        <v>15</v>
      </c>
      <c r="D41" s="51">
        <v>0.5</v>
      </c>
      <c r="E41" s="50">
        <f>(C41/100)/D41</f>
        <v>0.3</v>
      </c>
      <c r="F41" s="89">
        <f>1/10</f>
        <v>0.1</v>
      </c>
      <c r="G41" s="89">
        <f>1/20</f>
        <v>0.05</v>
      </c>
      <c r="H41" s="51"/>
      <c r="I41" s="97">
        <f>1/(F41+E48+G41)</f>
        <v>0.3367003367003367</v>
      </c>
      <c r="J41" s="45"/>
      <c r="K41" s="68" t="s">
        <v>70</v>
      </c>
      <c r="L41" s="71">
        <v>0.24</v>
      </c>
      <c r="M41" s="58">
        <v>1407</v>
      </c>
      <c r="N41" s="51">
        <v>1050</v>
      </c>
      <c r="O41" s="59">
        <v>0</v>
      </c>
      <c r="P41"/>
      <c r="Q41" s="1">
        <v>0.08</v>
      </c>
      <c r="R41" s="1">
        <v>11.4</v>
      </c>
      <c r="S41" s="1">
        <v>0.26</v>
      </c>
      <c r="T41" s="51"/>
      <c r="U41" s="1">
        <v>0.08</v>
      </c>
      <c r="V41" s="49">
        <f>R41/U41</f>
        <v>142.5</v>
      </c>
      <c r="W41" s="1">
        <v>9.5</v>
      </c>
      <c r="X41" s="1"/>
      <c r="Y41"/>
      <c r="Z41"/>
    </row>
    <row r="42" spans="2:26" ht="15.75">
      <c r="B42" s="68" t="s">
        <v>10</v>
      </c>
      <c r="C42" s="90">
        <v>10</v>
      </c>
      <c r="D42" s="51">
        <v>0.04</v>
      </c>
      <c r="E42" s="50">
        <f>(C42/100)/D42</f>
        <v>2.5</v>
      </c>
      <c r="F42" s="51"/>
      <c r="G42" s="51"/>
      <c r="H42" s="51"/>
      <c r="I42" s="98"/>
      <c r="J42" s="45"/>
      <c r="K42" s="68" t="s">
        <v>71</v>
      </c>
      <c r="L42" s="71">
        <v>0.23</v>
      </c>
      <c r="M42" s="58">
        <v>1322</v>
      </c>
      <c r="N42" s="51">
        <v>1050</v>
      </c>
      <c r="O42" s="59">
        <v>0</v>
      </c>
      <c r="P42"/>
      <c r="Q42" s="1">
        <v>0.1</v>
      </c>
      <c r="R42" s="1">
        <v>12.2</v>
      </c>
      <c r="S42" s="1">
        <v>0.21</v>
      </c>
      <c r="T42" s="50"/>
      <c r="U42" s="1">
        <v>0.1</v>
      </c>
      <c r="V42" s="49">
        <f>R42/U42</f>
        <v>121.99999999999999</v>
      </c>
      <c r="W42" s="1">
        <v>10</v>
      </c>
      <c r="X42" s="1"/>
      <c r="Y42"/>
      <c r="Z42"/>
    </row>
    <row r="43" spans="2:26" ht="15.75">
      <c r="B43" s="68" t="str">
        <f>K16</f>
        <v>Afinado piso</v>
      </c>
      <c r="C43" s="90">
        <v>3</v>
      </c>
      <c r="D43" s="51">
        <v>1.5</v>
      </c>
      <c r="E43" s="50">
        <f>(C43/100)/D43</f>
        <v>0.02</v>
      </c>
      <c r="F43" s="51"/>
      <c r="G43" s="51"/>
      <c r="H43" s="51"/>
      <c r="I43" s="59"/>
      <c r="J43" s="45"/>
      <c r="K43" s="68" t="s">
        <v>72</v>
      </c>
      <c r="L43" s="71">
        <v>0.22</v>
      </c>
      <c r="M43" s="58">
        <v>920</v>
      </c>
      <c r="N43" s="51">
        <v>1050</v>
      </c>
      <c r="O43" s="59">
        <v>0</v>
      </c>
      <c r="P43"/>
      <c r="Q43" s="1">
        <v>0.12</v>
      </c>
      <c r="R43" s="1">
        <v>13</v>
      </c>
      <c r="S43" s="1">
        <v>0.18</v>
      </c>
      <c r="T43" s="51"/>
      <c r="U43" s="1">
        <v>0.12</v>
      </c>
      <c r="V43" s="49">
        <f>R43/U43</f>
        <v>108.33333333333334</v>
      </c>
      <c r="W43" s="1">
        <v>10.4</v>
      </c>
      <c r="X43" s="1"/>
      <c r="Y43"/>
      <c r="Z43"/>
    </row>
    <row r="44" spans="2:26" ht="15.75">
      <c r="B44" s="99"/>
      <c r="C44" s="51"/>
      <c r="D44" s="51"/>
      <c r="E44" s="50"/>
      <c r="F44" s="51"/>
      <c r="G44" s="51"/>
      <c r="H44" s="51"/>
      <c r="I44" s="59"/>
      <c r="J44" s="45"/>
      <c r="K44" s="68" t="s">
        <v>73</v>
      </c>
      <c r="L44" s="71">
        <v>0.062</v>
      </c>
      <c r="M44" s="58">
        <v>6</v>
      </c>
      <c r="N44" s="51">
        <v>880</v>
      </c>
      <c r="O44" s="59">
        <v>0</v>
      </c>
      <c r="P44"/>
      <c r="Q44" s="1">
        <v>0.15</v>
      </c>
      <c r="R44" s="1">
        <v>14.2</v>
      </c>
      <c r="S44" s="1">
        <v>0.14</v>
      </c>
      <c r="T44" s="60"/>
      <c r="U44" s="1">
        <v>0.15</v>
      </c>
      <c r="V44" s="49">
        <f>R44/U44</f>
        <v>94.66666666666667</v>
      </c>
      <c r="W44" s="1">
        <v>11</v>
      </c>
      <c r="X44" s="1"/>
      <c r="Y44"/>
      <c r="Z44"/>
    </row>
    <row r="45" spans="2:26" ht="15.75">
      <c r="B45" s="99"/>
      <c r="C45" s="51"/>
      <c r="D45" s="51"/>
      <c r="E45" s="50"/>
      <c r="F45" s="51"/>
      <c r="G45" s="51"/>
      <c r="H45" s="51"/>
      <c r="I45" s="59"/>
      <c r="J45" s="45"/>
      <c r="K45" s="68" t="s">
        <v>74</v>
      </c>
      <c r="L45" s="71">
        <v>1.63</v>
      </c>
      <c r="M45" s="58">
        <v>2400</v>
      </c>
      <c r="N45" s="51">
        <v>1000</v>
      </c>
      <c r="O45" s="59">
        <v>0</v>
      </c>
      <c r="P45"/>
      <c r="T45" s="60"/>
      <c r="V45" s="49"/>
      <c r="W45" s="1"/>
      <c r="X45" s="1"/>
      <c r="Y45"/>
      <c r="Z45"/>
    </row>
    <row r="46" spans="2:26" ht="16.5" thickBot="1">
      <c r="B46" s="99"/>
      <c r="C46" s="51"/>
      <c r="D46" s="51"/>
      <c r="E46" s="50"/>
      <c r="F46" s="51"/>
      <c r="G46" s="51"/>
      <c r="H46" s="51"/>
      <c r="I46" s="59"/>
      <c r="J46" s="45"/>
      <c r="K46" s="68" t="s">
        <v>75</v>
      </c>
      <c r="L46" s="71">
        <v>0.39</v>
      </c>
      <c r="M46" s="58">
        <v>1100</v>
      </c>
      <c r="N46" s="51">
        <v>1000</v>
      </c>
      <c r="O46" s="59">
        <v>0</v>
      </c>
      <c r="P46"/>
      <c r="T46" s="52"/>
      <c r="U46" s="52"/>
      <c r="V46" s="53"/>
      <c r="W46" s="62"/>
      <c r="X46" s="1"/>
      <c r="Y46"/>
      <c r="Z46"/>
    </row>
    <row r="47" spans="2:26" ht="15.75">
      <c r="B47" s="99"/>
      <c r="C47" s="51"/>
      <c r="D47" s="51"/>
      <c r="E47" s="50"/>
      <c r="F47" s="51"/>
      <c r="G47" s="51"/>
      <c r="H47" s="51"/>
      <c r="I47" s="59"/>
      <c r="J47" s="45"/>
      <c r="K47" s="68" t="s">
        <v>76</v>
      </c>
      <c r="L47" s="71">
        <v>0.26</v>
      </c>
      <c r="M47" s="58">
        <v>900</v>
      </c>
      <c r="N47" s="51">
        <v>1000</v>
      </c>
      <c r="O47" s="59">
        <v>0</v>
      </c>
      <c r="P47"/>
      <c r="Q47"/>
      <c r="R47"/>
      <c r="S47"/>
      <c r="T47"/>
      <c r="U47"/>
      <c r="V47"/>
      <c r="W47"/>
      <c r="X47"/>
      <c r="Y47"/>
      <c r="Z47"/>
    </row>
    <row r="48" spans="2:26" ht="16.5" thickBot="1">
      <c r="B48" s="100"/>
      <c r="C48" s="52"/>
      <c r="D48" s="52"/>
      <c r="E48" s="101">
        <f>SUM(E41:E47)</f>
        <v>2.82</v>
      </c>
      <c r="F48" s="52"/>
      <c r="G48" s="52"/>
      <c r="H48" s="52"/>
      <c r="I48" s="62"/>
      <c r="J48" s="45"/>
      <c r="K48" s="68" t="s">
        <v>159</v>
      </c>
      <c r="L48" s="71">
        <v>1.57</v>
      </c>
      <c r="M48" s="73">
        <v>722</v>
      </c>
      <c r="N48" s="51">
        <v>1000</v>
      </c>
      <c r="O48" s="59">
        <v>0</v>
      </c>
      <c r="P48"/>
      <c r="Q48"/>
      <c r="R48"/>
      <c r="S48"/>
      <c r="T48"/>
      <c r="U48"/>
      <c r="V48"/>
      <c r="W48"/>
      <c r="X48"/>
      <c r="Y48"/>
      <c r="Z48"/>
    </row>
    <row r="49" spans="10:26" ht="15.75">
      <c r="J49" s="45"/>
      <c r="K49" s="68" t="s">
        <v>160</v>
      </c>
      <c r="L49" s="71">
        <v>1.26</v>
      </c>
      <c r="M49" s="73">
        <v>708</v>
      </c>
      <c r="N49" s="51">
        <v>1000</v>
      </c>
      <c r="O49" s="59">
        <v>0</v>
      </c>
      <c r="P49"/>
      <c r="Q49"/>
      <c r="R49"/>
      <c r="S49"/>
      <c r="T49"/>
      <c r="U49"/>
      <c r="V49"/>
      <c r="W49"/>
      <c r="X49"/>
      <c r="Y49"/>
      <c r="Z49"/>
    </row>
    <row r="50" spans="10:26" ht="15.75">
      <c r="J50" s="45"/>
      <c r="K50" s="68" t="s">
        <v>161</v>
      </c>
      <c r="L50" s="71">
        <v>1.05</v>
      </c>
      <c r="M50" s="73">
        <v>711</v>
      </c>
      <c r="N50" s="51">
        <v>1000</v>
      </c>
      <c r="O50" s="59">
        <v>0</v>
      </c>
      <c r="P50"/>
      <c r="Q50"/>
      <c r="R50"/>
      <c r="S50"/>
      <c r="T50"/>
      <c r="U50"/>
      <c r="V50"/>
      <c r="W50"/>
      <c r="X50"/>
      <c r="Y50"/>
      <c r="Z50"/>
    </row>
    <row r="51" spans="2:26" ht="23.25">
      <c r="B51" s="3" t="s">
        <v>35</v>
      </c>
      <c r="C51" s="3"/>
      <c r="D51" s="4"/>
      <c r="J51" s="45"/>
      <c r="K51" s="68" t="s">
        <v>159</v>
      </c>
      <c r="L51" s="71">
        <v>0.9</v>
      </c>
      <c r="M51" s="73">
        <v>722</v>
      </c>
      <c r="N51" s="51">
        <v>1000</v>
      </c>
      <c r="O51" s="59">
        <v>0</v>
      </c>
      <c r="P51"/>
      <c r="Q51"/>
      <c r="R51"/>
      <c r="S51"/>
      <c r="T51"/>
      <c r="U51"/>
      <c r="V51"/>
      <c r="W51"/>
      <c r="X51"/>
      <c r="Y51"/>
      <c r="Z51"/>
    </row>
    <row r="52" spans="2:15" ht="18.75" thickBot="1">
      <c r="B52" s="4"/>
      <c r="C52" s="4"/>
      <c r="D52" s="4"/>
      <c r="J52" s="45"/>
      <c r="K52" s="68" t="s">
        <v>162</v>
      </c>
      <c r="L52" s="71">
        <v>0.79</v>
      </c>
      <c r="M52" s="73">
        <v>714</v>
      </c>
      <c r="N52" s="51">
        <v>1000</v>
      </c>
      <c r="O52" s="59">
        <v>0</v>
      </c>
    </row>
    <row r="53" spans="2:15" ht="18">
      <c r="B53" s="91" t="s">
        <v>7</v>
      </c>
      <c r="C53" s="92" t="s">
        <v>118</v>
      </c>
      <c r="D53" s="93" t="s">
        <v>17</v>
      </c>
      <c r="E53" s="92" t="s">
        <v>18</v>
      </c>
      <c r="F53" s="94" t="s">
        <v>4</v>
      </c>
      <c r="G53" s="94" t="s">
        <v>5</v>
      </c>
      <c r="H53" s="95"/>
      <c r="I53" s="96" t="s">
        <v>8</v>
      </c>
      <c r="J53" s="45"/>
      <c r="K53" s="68" t="s">
        <v>160</v>
      </c>
      <c r="L53" s="71">
        <v>0.7</v>
      </c>
      <c r="M53" s="73">
        <v>708</v>
      </c>
      <c r="N53" s="51">
        <v>1000</v>
      </c>
      <c r="O53" s="59">
        <v>0</v>
      </c>
    </row>
    <row r="54" spans="2:15" ht="18">
      <c r="B54" s="68" t="str">
        <f>K54</f>
        <v>Hormigón Radier</v>
      </c>
      <c r="C54" s="90">
        <v>15</v>
      </c>
      <c r="D54" s="51">
        <f>L54</f>
        <v>1.63</v>
      </c>
      <c r="E54" s="50">
        <f>(C54/100)/D54</f>
        <v>0.09202453987730061</v>
      </c>
      <c r="F54" s="89">
        <f>1/10</f>
        <v>0.1</v>
      </c>
      <c r="G54" s="89">
        <f>1/20</f>
        <v>0.05</v>
      </c>
      <c r="H54" s="51"/>
      <c r="I54" s="97">
        <f>1/(F54+E62+G54)</f>
        <v>0.38624436925412003</v>
      </c>
      <c r="J54" s="45"/>
      <c r="K54" s="68" t="s">
        <v>77</v>
      </c>
      <c r="L54" s="71">
        <v>1.63</v>
      </c>
      <c r="M54" s="58">
        <v>1600</v>
      </c>
      <c r="N54" s="51">
        <v>1000</v>
      </c>
      <c r="O54" s="59">
        <v>0</v>
      </c>
    </row>
    <row r="55" spans="2:15" ht="18">
      <c r="B55" s="68" t="str">
        <f>K81</f>
        <v>Poliestireno expandido 10kg</v>
      </c>
      <c r="C55" s="90">
        <v>10</v>
      </c>
      <c r="D55" s="51">
        <f>L81</f>
        <v>0.043</v>
      </c>
      <c r="E55" s="50">
        <f>(C55/100)/D55</f>
        <v>2.3255813953488373</v>
      </c>
      <c r="F55" s="51"/>
      <c r="G55" s="51"/>
      <c r="H55" s="51"/>
      <c r="I55" s="98"/>
      <c r="J55" s="45"/>
      <c r="K55" s="68" t="s">
        <v>174</v>
      </c>
      <c r="L55" s="71">
        <v>0.44</v>
      </c>
      <c r="M55" s="74">
        <v>127</v>
      </c>
      <c r="N55" s="51">
        <v>1400</v>
      </c>
      <c r="O55" s="59">
        <v>0</v>
      </c>
    </row>
    <row r="56" spans="2:15" ht="18">
      <c r="B56" s="68" t="str">
        <f>K16</f>
        <v>Afinado piso</v>
      </c>
      <c r="C56" s="90">
        <v>3</v>
      </c>
      <c r="D56" s="51">
        <f>L16</f>
        <v>1.4</v>
      </c>
      <c r="E56" s="50">
        <f>(C56/100)/D56</f>
        <v>0.02142857142857143</v>
      </c>
      <c r="F56" s="51"/>
      <c r="G56" s="51"/>
      <c r="H56" s="51"/>
      <c r="I56" s="59"/>
      <c r="J56" s="45"/>
      <c r="K56" s="68" t="s">
        <v>175</v>
      </c>
      <c r="L56" s="71">
        <v>0.33</v>
      </c>
      <c r="M56" s="74">
        <v>100</v>
      </c>
      <c r="N56" s="51">
        <v>1400</v>
      </c>
      <c r="O56" s="59">
        <v>0</v>
      </c>
    </row>
    <row r="57" spans="2:15" ht="18">
      <c r="B57" s="99"/>
      <c r="C57" s="51"/>
      <c r="D57" s="51"/>
      <c r="E57" s="50"/>
      <c r="F57" s="51"/>
      <c r="G57" s="51"/>
      <c r="H57" s="51"/>
      <c r="I57" s="59"/>
      <c r="J57" s="45"/>
      <c r="K57" s="68" t="s">
        <v>176</v>
      </c>
      <c r="L57" s="71">
        <v>0.27</v>
      </c>
      <c r="M57" s="74">
        <v>87</v>
      </c>
      <c r="N57" s="51">
        <v>1400</v>
      </c>
      <c r="O57" s="59">
        <v>0</v>
      </c>
    </row>
    <row r="58" spans="2:15" ht="18">
      <c r="B58" s="99"/>
      <c r="C58" s="51"/>
      <c r="D58" s="51"/>
      <c r="E58" s="50"/>
      <c r="F58" s="51"/>
      <c r="G58" s="51"/>
      <c r="H58" s="51"/>
      <c r="I58" s="59"/>
      <c r="J58" s="45"/>
      <c r="K58" s="68" t="s">
        <v>177</v>
      </c>
      <c r="L58" s="71">
        <v>0.22</v>
      </c>
      <c r="M58" s="74">
        <v>73</v>
      </c>
      <c r="N58" s="51">
        <v>1400</v>
      </c>
      <c r="O58" s="59">
        <v>0</v>
      </c>
    </row>
    <row r="59" spans="2:15" ht="18">
      <c r="B59" s="99"/>
      <c r="C59" s="51"/>
      <c r="D59" s="51"/>
      <c r="E59" s="50"/>
      <c r="F59" s="51"/>
      <c r="G59" s="51"/>
      <c r="H59" s="51"/>
      <c r="I59" s="59"/>
      <c r="J59" s="45"/>
      <c r="K59" s="68" t="s">
        <v>178</v>
      </c>
      <c r="L59" s="71">
        <v>0.17</v>
      </c>
      <c r="M59" s="74">
        <v>60</v>
      </c>
      <c r="N59" s="51">
        <v>1400</v>
      </c>
      <c r="O59" s="59">
        <v>0</v>
      </c>
    </row>
    <row r="60" spans="2:15" ht="18">
      <c r="B60" s="99"/>
      <c r="C60" s="51"/>
      <c r="D60" s="51"/>
      <c r="E60" s="50"/>
      <c r="F60" s="51"/>
      <c r="G60" s="51"/>
      <c r="H60" s="51"/>
      <c r="I60" s="59"/>
      <c r="J60" s="45"/>
      <c r="K60" s="68" t="s">
        <v>180</v>
      </c>
      <c r="L60" s="71">
        <v>0.26</v>
      </c>
      <c r="M60" s="58">
        <v>143</v>
      </c>
      <c r="N60" s="51">
        <v>1400</v>
      </c>
      <c r="O60" s="59">
        <v>0</v>
      </c>
    </row>
    <row r="61" spans="2:15" ht="18">
      <c r="B61" s="99"/>
      <c r="C61" s="51"/>
      <c r="D61" s="51"/>
      <c r="E61" s="50"/>
      <c r="F61" s="51"/>
      <c r="G61" s="51"/>
      <c r="H61" s="51"/>
      <c r="I61" s="59"/>
      <c r="J61" s="45"/>
      <c r="K61" s="68" t="s">
        <v>181</v>
      </c>
      <c r="L61" s="71">
        <v>0.21</v>
      </c>
      <c r="M61" s="58">
        <v>122</v>
      </c>
      <c r="N61" s="51">
        <v>1400</v>
      </c>
      <c r="O61" s="59">
        <v>0</v>
      </c>
    </row>
    <row r="62" spans="2:15" ht="18.75" thickBot="1">
      <c r="B62" s="100"/>
      <c r="C62" s="52"/>
      <c r="D62" s="52"/>
      <c r="E62" s="101">
        <f>SUM(E54:E61)</f>
        <v>2.4390345066547092</v>
      </c>
      <c r="F62" s="52"/>
      <c r="G62" s="52"/>
      <c r="H62" s="52"/>
      <c r="I62" s="62"/>
      <c r="J62" s="45"/>
      <c r="K62" s="68" t="s">
        <v>182</v>
      </c>
      <c r="L62" s="71">
        <v>0.18</v>
      </c>
      <c r="M62" s="58">
        <v>108</v>
      </c>
      <c r="N62" s="51">
        <v>1400</v>
      </c>
      <c r="O62" s="59">
        <v>0</v>
      </c>
    </row>
    <row r="63" spans="10:15" ht="18">
      <c r="J63" s="45"/>
      <c r="K63" s="68" t="s">
        <v>183</v>
      </c>
      <c r="L63" s="71">
        <v>0.14</v>
      </c>
      <c r="M63" s="58">
        <v>95</v>
      </c>
      <c r="N63" s="51">
        <v>1400</v>
      </c>
      <c r="O63" s="59">
        <v>0</v>
      </c>
    </row>
    <row r="64" spans="10:15" ht="18">
      <c r="J64" s="45"/>
      <c r="K64" s="68" t="s">
        <v>78</v>
      </c>
      <c r="L64" s="71">
        <v>0.46</v>
      </c>
      <c r="M64" s="58">
        <v>1000</v>
      </c>
      <c r="N64" s="51">
        <v>1250</v>
      </c>
      <c r="O64" s="59">
        <v>0</v>
      </c>
    </row>
    <row r="65" spans="2:15" ht="23.25">
      <c r="B65" s="3" t="s">
        <v>21</v>
      </c>
      <c r="C65" s="3"/>
      <c r="D65" s="11"/>
      <c r="J65" s="45"/>
      <c r="K65" s="68" t="s">
        <v>79</v>
      </c>
      <c r="L65" s="71">
        <v>0.5</v>
      </c>
      <c r="M65" s="58">
        <v>1200</v>
      </c>
      <c r="N65" s="51">
        <v>1250</v>
      </c>
      <c r="O65" s="59">
        <v>0</v>
      </c>
    </row>
    <row r="66" spans="10:15" ht="18.75" thickBot="1">
      <c r="J66" s="45"/>
      <c r="K66" s="68" t="s">
        <v>80</v>
      </c>
      <c r="L66" s="71">
        <v>0.49</v>
      </c>
      <c r="M66" s="58">
        <v>1200</v>
      </c>
      <c r="N66" s="51">
        <v>920</v>
      </c>
      <c r="O66" s="59">
        <v>0</v>
      </c>
    </row>
    <row r="67" spans="2:15" ht="18">
      <c r="B67" s="129" t="s">
        <v>115</v>
      </c>
      <c r="C67" s="105" t="s">
        <v>116</v>
      </c>
      <c r="D67" s="139" t="s">
        <v>14</v>
      </c>
      <c r="E67" s="139" t="s">
        <v>15</v>
      </c>
      <c r="F67" s="139" t="s">
        <v>16</v>
      </c>
      <c r="G67" s="105" t="s">
        <v>113</v>
      </c>
      <c r="H67" s="106" t="s">
        <v>114</v>
      </c>
      <c r="I67" s="107" t="s">
        <v>8</v>
      </c>
      <c r="J67" s="45"/>
      <c r="K67" s="68" t="s">
        <v>81</v>
      </c>
      <c r="L67" s="71">
        <v>0.044</v>
      </c>
      <c r="M67" s="58">
        <v>14</v>
      </c>
      <c r="N67" s="51">
        <v>700</v>
      </c>
      <c r="O67" s="59">
        <v>0</v>
      </c>
    </row>
    <row r="68" spans="2:15" ht="18">
      <c r="B68" s="108">
        <v>1.1</v>
      </c>
      <c r="C68" s="104">
        <v>1.3</v>
      </c>
      <c r="D68" s="128">
        <v>7</v>
      </c>
      <c r="E68" s="128">
        <v>10</v>
      </c>
      <c r="F68" s="128">
        <v>2.8</v>
      </c>
      <c r="G68" s="130">
        <f>(D68+E68)*2*F68-H68</f>
        <v>50.19999999999999</v>
      </c>
      <c r="H68" s="131">
        <v>45</v>
      </c>
      <c r="I68" s="140">
        <f>((C68*H68)+(B68*G68))/(G68+H68)</f>
        <v>1.1945378151260506</v>
      </c>
      <c r="J68" s="45"/>
      <c r="K68" s="68" t="s">
        <v>82</v>
      </c>
      <c r="L68" s="71">
        <v>0.033</v>
      </c>
      <c r="M68" s="58">
        <v>60</v>
      </c>
      <c r="N68" s="51">
        <v>700</v>
      </c>
      <c r="O68" s="59">
        <v>0</v>
      </c>
    </row>
    <row r="69" spans="2:15" ht="18">
      <c r="B69" s="108" t="s">
        <v>112</v>
      </c>
      <c r="C69" s="104" t="s">
        <v>229</v>
      </c>
      <c r="D69" s="104"/>
      <c r="E69" s="104"/>
      <c r="F69" s="132"/>
      <c r="G69" s="103" t="s">
        <v>117</v>
      </c>
      <c r="H69" s="103" t="s">
        <v>22</v>
      </c>
      <c r="I69" s="133"/>
      <c r="J69" s="45"/>
      <c r="K69" s="68" t="s">
        <v>83</v>
      </c>
      <c r="L69" s="71">
        <v>0.033</v>
      </c>
      <c r="M69" s="58">
        <v>80</v>
      </c>
      <c r="N69" s="51">
        <v>700</v>
      </c>
      <c r="O69" s="59">
        <v>0</v>
      </c>
    </row>
    <row r="70" spans="2:15" ht="18.75" thickBot="1">
      <c r="B70" s="110">
        <f>D68*E68</f>
        <v>70</v>
      </c>
      <c r="C70" s="134" t="s">
        <v>19</v>
      </c>
      <c r="D70" s="111">
        <f>H68/B70</f>
        <v>0.6428571428571429</v>
      </c>
      <c r="E70" s="135"/>
      <c r="F70" s="135"/>
      <c r="G70" s="136">
        <f>(D68+E68)*2*F68</f>
        <v>95.19999999999999</v>
      </c>
      <c r="H70" s="137">
        <f>H68*100/G70</f>
        <v>47.268907563025216</v>
      </c>
      <c r="I70" s="138"/>
      <c r="J70" s="45"/>
      <c r="K70" s="68" t="s">
        <v>84</v>
      </c>
      <c r="L70" s="71">
        <v>0.042</v>
      </c>
      <c r="M70" s="58">
        <v>40</v>
      </c>
      <c r="N70" s="51">
        <v>960</v>
      </c>
      <c r="O70" s="59">
        <v>0</v>
      </c>
    </row>
    <row r="71" spans="10:15" ht="18">
      <c r="J71" s="45"/>
      <c r="K71" s="68" t="s">
        <v>85</v>
      </c>
      <c r="L71" s="71">
        <v>0.136</v>
      </c>
      <c r="M71" s="58">
        <v>640</v>
      </c>
      <c r="N71" s="51">
        <v>1300</v>
      </c>
      <c r="O71" s="59">
        <v>0</v>
      </c>
    </row>
    <row r="72" spans="10:15" ht="18">
      <c r="J72" s="45"/>
      <c r="K72" s="68" t="s">
        <v>86</v>
      </c>
      <c r="L72" s="71">
        <v>0.15</v>
      </c>
      <c r="M72" s="58">
        <v>620</v>
      </c>
      <c r="N72" s="51">
        <v>1700</v>
      </c>
      <c r="O72" s="59">
        <v>0</v>
      </c>
    </row>
    <row r="73" spans="2:15" ht="23.25">
      <c r="B73" s="3" t="s">
        <v>206</v>
      </c>
      <c r="C73" s="11"/>
      <c r="D73" s="11"/>
      <c r="E73" s="11"/>
      <c r="J73" s="45"/>
      <c r="K73" s="68" t="s">
        <v>87</v>
      </c>
      <c r="L73" s="71">
        <v>3</v>
      </c>
      <c r="M73" s="58">
        <v>2500</v>
      </c>
      <c r="N73" s="51">
        <v>1700</v>
      </c>
      <c r="O73" s="59">
        <v>0</v>
      </c>
    </row>
    <row r="74" spans="2:15" ht="23.25">
      <c r="B74" s="3" t="s">
        <v>198</v>
      </c>
      <c r="C74" s="3"/>
      <c r="D74" s="11"/>
      <c r="E74" s="11"/>
      <c r="J74" s="45"/>
      <c r="K74" s="68" t="s">
        <v>88</v>
      </c>
      <c r="L74" s="71">
        <v>0.15</v>
      </c>
      <c r="M74" s="58">
        <v>450</v>
      </c>
      <c r="N74" s="51">
        <v>1360</v>
      </c>
      <c r="O74" s="59">
        <v>0</v>
      </c>
    </row>
    <row r="75" spans="10:15" ht="18">
      <c r="J75" s="45"/>
      <c r="K75" s="68" t="s">
        <v>89</v>
      </c>
      <c r="L75" s="71">
        <v>0.85</v>
      </c>
      <c r="M75" s="58">
        <v>950</v>
      </c>
      <c r="N75" s="51">
        <v>1000</v>
      </c>
      <c r="O75" s="59">
        <v>0</v>
      </c>
    </row>
    <row r="76" spans="2:15" ht="18">
      <c r="B76" s="112" t="s">
        <v>185</v>
      </c>
      <c r="C76" s="112"/>
      <c r="D76" s="112"/>
      <c r="E76" s="112"/>
      <c r="F76" s="112"/>
      <c r="G76" s="112"/>
      <c r="H76" s="112"/>
      <c r="J76" s="45"/>
      <c r="K76" s="68" t="s">
        <v>90</v>
      </c>
      <c r="L76" s="71">
        <v>0.104</v>
      </c>
      <c r="M76" s="58">
        <v>410</v>
      </c>
      <c r="N76" s="51">
        <v>1350</v>
      </c>
      <c r="O76" s="59">
        <v>0</v>
      </c>
    </row>
    <row r="77" spans="2:15" ht="18">
      <c r="B77" s="112" t="s">
        <v>186</v>
      </c>
      <c r="C77" s="112"/>
      <c r="D77" s="112"/>
      <c r="E77" s="112"/>
      <c r="F77" s="112"/>
      <c r="G77" s="112"/>
      <c r="H77" s="112"/>
      <c r="J77" s="45"/>
      <c r="K77" s="68" t="s">
        <v>91</v>
      </c>
      <c r="L77" s="71">
        <v>1.75</v>
      </c>
      <c r="M77" s="58">
        <v>1000</v>
      </c>
      <c r="N77" s="51">
        <v>1000</v>
      </c>
      <c r="O77" s="59">
        <v>0</v>
      </c>
    </row>
    <row r="78" spans="2:15" ht="18">
      <c r="B78" s="112" t="s">
        <v>187</v>
      </c>
      <c r="C78" s="112"/>
      <c r="D78" s="112"/>
      <c r="E78" s="112"/>
      <c r="F78" s="112"/>
      <c r="G78" s="112"/>
      <c r="H78" s="112"/>
      <c r="J78" s="45"/>
      <c r="K78" s="68" t="s">
        <v>92</v>
      </c>
      <c r="L78" s="71">
        <v>0.19</v>
      </c>
      <c r="M78" s="58">
        <v>1200</v>
      </c>
      <c r="N78" s="51">
        <v>1050</v>
      </c>
      <c r="O78" s="59">
        <v>0</v>
      </c>
    </row>
    <row r="79" spans="2:15" ht="18">
      <c r="B79" s="112" t="s">
        <v>188</v>
      </c>
      <c r="C79" s="112"/>
      <c r="D79" s="112"/>
      <c r="E79" s="112"/>
      <c r="F79" s="112"/>
      <c r="G79" s="112"/>
      <c r="H79" s="112"/>
      <c r="J79" s="45"/>
      <c r="K79" s="68" t="s">
        <v>93</v>
      </c>
      <c r="L79" s="71">
        <v>0.15</v>
      </c>
      <c r="M79" s="58">
        <v>500</v>
      </c>
      <c r="N79" s="51">
        <v>1700</v>
      </c>
      <c r="O79" s="59">
        <v>0</v>
      </c>
    </row>
    <row r="80" spans="10:15" ht="18.75" thickBot="1">
      <c r="J80" s="45"/>
      <c r="K80" s="68" t="s">
        <v>94</v>
      </c>
      <c r="L80" s="71">
        <v>52</v>
      </c>
      <c r="M80" s="58">
        <v>7850</v>
      </c>
      <c r="N80" s="51">
        <v>500</v>
      </c>
      <c r="O80" s="59">
        <v>0</v>
      </c>
    </row>
    <row r="81" spans="2:15" ht="18">
      <c r="B81" s="75" t="s">
        <v>189</v>
      </c>
      <c r="C81" s="76" t="s">
        <v>190</v>
      </c>
      <c r="D81" s="76" t="s">
        <v>196</v>
      </c>
      <c r="E81" s="76" t="s">
        <v>197</v>
      </c>
      <c r="F81" s="76" t="s">
        <v>207</v>
      </c>
      <c r="G81" s="56"/>
      <c r="H81" s="57"/>
      <c r="J81" s="45"/>
      <c r="K81" s="68" t="s">
        <v>95</v>
      </c>
      <c r="L81" s="71">
        <v>0.043</v>
      </c>
      <c r="M81" s="58">
        <v>10</v>
      </c>
      <c r="N81" s="51">
        <v>1400</v>
      </c>
      <c r="O81" s="59">
        <v>0</v>
      </c>
    </row>
    <row r="82" spans="2:15" ht="18">
      <c r="B82" s="77">
        <f>I14</f>
        <v>0.3292026476965801</v>
      </c>
      <c r="C82" s="78">
        <f>B84</f>
        <v>50.19999999999999</v>
      </c>
      <c r="D82" s="79">
        <f>22-E82</f>
        <v>19</v>
      </c>
      <c r="E82" s="79">
        <v>3</v>
      </c>
      <c r="F82" s="80">
        <f>B82*C82*D82</f>
        <v>313.993485372998</v>
      </c>
      <c r="G82" s="51"/>
      <c r="H82" s="59"/>
      <c r="J82" s="45"/>
      <c r="K82" s="68" t="s">
        <v>96</v>
      </c>
      <c r="L82" s="71">
        <v>0.041</v>
      </c>
      <c r="M82" s="58">
        <v>15</v>
      </c>
      <c r="N82" s="51">
        <v>1400</v>
      </c>
      <c r="O82" s="59">
        <v>0</v>
      </c>
    </row>
    <row r="83" spans="2:15" ht="18">
      <c r="B83" s="58" t="s">
        <v>24</v>
      </c>
      <c r="C83" s="51" t="s">
        <v>14</v>
      </c>
      <c r="D83" s="51" t="s">
        <v>191</v>
      </c>
      <c r="E83" s="51" t="s">
        <v>192</v>
      </c>
      <c r="F83" s="51" t="s">
        <v>193</v>
      </c>
      <c r="G83" s="51" t="s">
        <v>194</v>
      </c>
      <c r="H83" s="59" t="s">
        <v>195</v>
      </c>
      <c r="J83" s="45"/>
      <c r="K83" s="68" t="s">
        <v>97</v>
      </c>
      <c r="L83" s="71">
        <v>0.038</v>
      </c>
      <c r="M83" s="58">
        <v>20</v>
      </c>
      <c r="N83" s="51">
        <v>1400</v>
      </c>
      <c r="O83" s="59">
        <v>0</v>
      </c>
    </row>
    <row r="84" spans="2:15" ht="18.75" thickBot="1">
      <c r="B84" s="82">
        <f>E84*H84-H68</f>
        <v>50.19999999999999</v>
      </c>
      <c r="C84" s="83">
        <f>D68</f>
        <v>7</v>
      </c>
      <c r="D84" s="83">
        <f>E68</f>
        <v>10</v>
      </c>
      <c r="E84" s="84">
        <f>(C84+D84)*2</f>
        <v>34</v>
      </c>
      <c r="F84" s="81">
        <f>C84*D84</f>
        <v>70</v>
      </c>
      <c r="G84" s="52">
        <f>C84*D84*H84</f>
        <v>196</v>
      </c>
      <c r="H84" s="85">
        <f>F68</f>
        <v>2.8</v>
      </c>
      <c r="J84" s="45"/>
      <c r="K84" s="68" t="s">
        <v>98</v>
      </c>
      <c r="L84" s="71">
        <v>0.036</v>
      </c>
      <c r="M84" s="58">
        <v>30</v>
      </c>
      <c r="N84" s="51">
        <v>1400</v>
      </c>
      <c r="O84" s="59">
        <v>0</v>
      </c>
    </row>
    <row r="85" spans="10:15" ht="18">
      <c r="J85" s="45"/>
      <c r="K85" s="68" t="s">
        <v>99</v>
      </c>
      <c r="L85" s="71">
        <v>0.026</v>
      </c>
      <c r="M85" s="58">
        <v>29</v>
      </c>
      <c r="N85" s="51">
        <v>1400</v>
      </c>
      <c r="O85" s="59">
        <v>0</v>
      </c>
    </row>
    <row r="86" spans="10:15" ht="18">
      <c r="J86" s="45"/>
      <c r="K86" s="68" t="s">
        <v>100</v>
      </c>
      <c r="L86" s="71">
        <v>0.025</v>
      </c>
      <c r="M86" s="58">
        <v>40</v>
      </c>
      <c r="N86" s="51">
        <v>1400</v>
      </c>
      <c r="O86" s="59">
        <v>0</v>
      </c>
    </row>
    <row r="87" spans="2:15" ht="23.25">
      <c r="B87" s="3" t="s">
        <v>206</v>
      </c>
      <c r="C87" s="11"/>
      <c r="D87" s="11"/>
      <c r="E87" s="11"/>
      <c r="J87" s="45"/>
      <c r="K87" s="68" t="s">
        <v>101</v>
      </c>
      <c r="L87" s="71">
        <v>0.121</v>
      </c>
      <c r="M87" s="58">
        <v>580</v>
      </c>
      <c r="N87" s="51">
        <v>1300</v>
      </c>
      <c r="O87" s="59">
        <v>0</v>
      </c>
    </row>
    <row r="88" spans="2:15" ht="23.25">
      <c r="B88" s="3" t="s">
        <v>199</v>
      </c>
      <c r="C88" s="3"/>
      <c r="D88" s="11"/>
      <c r="E88" s="11"/>
      <c r="J88" s="45"/>
      <c r="K88" s="68" t="s">
        <v>102</v>
      </c>
      <c r="L88" s="71">
        <v>0.35</v>
      </c>
      <c r="M88" s="58">
        <v>1400</v>
      </c>
      <c r="N88" s="51">
        <v>1000</v>
      </c>
      <c r="O88" s="59">
        <v>0</v>
      </c>
    </row>
    <row r="89" spans="10:15" ht="18">
      <c r="J89" s="45"/>
      <c r="K89" s="68" t="s">
        <v>103</v>
      </c>
      <c r="L89" s="71">
        <v>0.19</v>
      </c>
      <c r="M89" s="58">
        <v>1200</v>
      </c>
      <c r="N89" s="51">
        <v>800</v>
      </c>
      <c r="O89" s="59">
        <v>0</v>
      </c>
    </row>
    <row r="90" spans="2:15" ht="18">
      <c r="B90" s="112" t="s">
        <v>185</v>
      </c>
      <c r="C90" s="112"/>
      <c r="D90" s="112"/>
      <c r="E90" s="112"/>
      <c r="F90" s="112"/>
      <c r="G90" s="112"/>
      <c r="H90" s="112"/>
      <c r="J90" s="45"/>
      <c r="K90" s="68" t="s">
        <v>104</v>
      </c>
      <c r="L90" s="71">
        <v>0.157</v>
      </c>
      <c r="M90" s="58">
        <v>800</v>
      </c>
      <c r="N90" s="51">
        <v>1350</v>
      </c>
      <c r="O90" s="59">
        <v>0</v>
      </c>
    </row>
    <row r="91" spans="2:15" ht="18">
      <c r="B91" s="112" t="s">
        <v>186</v>
      </c>
      <c r="C91" s="112"/>
      <c r="D91" s="112"/>
      <c r="E91" s="112"/>
      <c r="F91" s="112"/>
      <c r="G91" s="112"/>
      <c r="H91" s="112"/>
      <c r="J91" s="45"/>
      <c r="K91" s="68" t="s">
        <v>105</v>
      </c>
      <c r="L91" s="71">
        <v>1.2</v>
      </c>
      <c r="M91" s="58">
        <v>2500</v>
      </c>
      <c r="N91" s="51">
        <v>1400</v>
      </c>
      <c r="O91" s="59">
        <v>0</v>
      </c>
    </row>
    <row r="92" spans="2:15" ht="18">
      <c r="B92" s="112" t="s">
        <v>187</v>
      </c>
      <c r="C92" s="112"/>
      <c r="D92" s="112"/>
      <c r="E92" s="112"/>
      <c r="F92" s="112"/>
      <c r="G92" s="112"/>
      <c r="H92" s="112"/>
      <c r="J92" s="45"/>
      <c r="K92" s="68" t="s">
        <v>106</v>
      </c>
      <c r="L92" s="71">
        <v>0.24</v>
      </c>
      <c r="M92" s="58">
        <v>650</v>
      </c>
      <c r="N92" s="51">
        <v>820</v>
      </c>
      <c r="O92" s="59">
        <v>0</v>
      </c>
    </row>
    <row r="93" spans="2:15" ht="18">
      <c r="B93" s="112" t="s">
        <v>188</v>
      </c>
      <c r="C93" s="112"/>
      <c r="D93" s="112"/>
      <c r="E93" s="112"/>
      <c r="F93" s="112"/>
      <c r="G93" s="112"/>
      <c r="H93" s="112"/>
      <c r="J93" s="45"/>
      <c r="K93" s="68" t="s">
        <v>107</v>
      </c>
      <c r="L93" s="71">
        <v>0.26</v>
      </c>
      <c r="M93" s="58">
        <v>700</v>
      </c>
      <c r="N93" s="51">
        <v>820</v>
      </c>
      <c r="O93" s="59">
        <v>0</v>
      </c>
    </row>
    <row r="94" spans="10:15" ht="18.75" thickBot="1">
      <c r="J94" s="45"/>
      <c r="K94" s="68" t="s">
        <v>108</v>
      </c>
      <c r="L94" s="71">
        <v>0.31</v>
      </c>
      <c r="M94" s="58">
        <v>870</v>
      </c>
      <c r="N94" s="51">
        <v>820</v>
      </c>
      <c r="O94" s="59">
        <v>0</v>
      </c>
    </row>
    <row r="95" spans="2:15" ht="18.75" thickBot="1">
      <c r="B95" s="75" t="s">
        <v>189</v>
      </c>
      <c r="C95" s="76" t="s">
        <v>190</v>
      </c>
      <c r="D95" s="76" t="s">
        <v>196</v>
      </c>
      <c r="E95" s="76" t="s">
        <v>197</v>
      </c>
      <c r="F95" s="76" t="s">
        <v>207</v>
      </c>
      <c r="G95" s="56"/>
      <c r="H95" s="57"/>
      <c r="J95" s="45"/>
      <c r="K95" s="69" t="s">
        <v>109</v>
      </c>
      <c r="L95" s="72">
        <v>0</v>
      </c>
      <c r="M95" s="61">
        <v>0</v>
      </c>
      <c r="N95" s="52">
        <v>0</v>
      </c>
      <c r="O95" s="62">
        <v>0.15</v>
      </c>
    </row>
    <row r="96" spans="2:10" ht="18">
      <c r="B96" s="77">
        <f>I41</f>
        <v>0.3367003367003367</v>
      </c>
      <c r="C96" s="78">
        <f>B98</f>
        <v>70</v>
      </c>
      <c r="D96" s="79">
        <f>22-E96</f>
        <v>19</v>
      </c>
      <c r="E96" s="79">
        <v>3</v>
      </c>
      <c r="F96" s="80">
        <f>B96*C96*D96</f>
        <v>447.81144781144786</v>
      </c>
      <c r="G96" s="51"/>
      <c r="H96" s="59"/>
      <c r="J96" s="45"/>
    </row>
    <row r="97" spans="2:10" ht="18">
      <c r="B97" s="58" t="s">
        <v>200</v>
      </c>
      <c r="C97" s="51" t="s">
        <v>14</v>
      </c>
      <c r="D97" s="51" t="s">
        <v>191</v>
      </c>
      <c r="E97" s="51" t="s">
        <v>192</v>
      </c>
      <c r="F97" s="51" t="s">
        <v>193</v>
      </c>
      <c r="G97" s="51" t="s">
        <v>194</v>
      </c>
      <c r="H97" s="59" t="s">
        <v>195</v>
      </c>
      <c r="J97" s="45"/>
    </row>
    <row r="98" spans="2:10" ht="18.75" thickBot="1">
      <c r="B98" s="82">
        <f>C98*D98</f>
        <v>70</v>
      </c>
      <c r="C98" s="83">
        <f>D68</f>
        <v>7</v>
      </c>
      <c r="D98" s="83">
        <f>E68</f>
        <v>10</v>
      </c>
      <c r="E98" s="84">
        <f>(C98+D98)*2</f>
        <v>34</v>
      </c>
      <c r="F98" s="81">
        <f>C98*D98</f>
        <v>70</v>
      </c>
      <c r="G98" s="52">
        <f>C98*D98*H98</f>
        <v>196</v>
      </c>
      <c r="H98" s="85">
        <f>F68</f>
        <v>2.8</v>
      </c>
      <c r="J98" s="45"/>
    </row>
    <row r="99" ht="18">
      <c r="J99" s="45"/>
    </row>
    <row r="100" ht="18">
      <c r="J100" s="45"/>
    </row>
    <row r="101" spans="2:10" ht="23.25">
      <c r="B101" s="3" t="s">
        <v>206</v>
      </c>
      <c r="C101" s="11"/>
      <c r="D101" s="11"/>
      <c r="E101" s="11"/>
      <c r="J101" s="45"/>
    </row>
    <row r="102" spans="2:10" ht="23.25">
      <c r="B102" s="3" t="s">
        <v>201</v>
      </c>
      <c r="C102" s="3"/>
      <c r="D102" s="11"/>
      <c r="E102" s="11"/>
      <c r="J102" s="45"/>
    </row>
    <row r="103" ht="18">
      <c r="J103" s="45"/>
    </row>
    <row r="104" spans="2:10" ht="18">
      <c r="B104" s="112" t="s">
        <v>185</v>
      </c>
      <c r="C104" s="112"/>
      <c r="D104" s="112"/>
      <c r="E104" s="112"/>
      <c r="J104" s="45"/>
    </row>
    <row r="105" spans="2:10" ht="18">
      <c r="B105" s="112" t="s">
        <v>186</v>
      </c>
      <c r="C105" s="112"/>
      <c r="D105" s="112"/>
      <c r="E105" s="112"/>
      <c r="J105" s="45"/>
    </row>
    <row r="106" spans="2:10" ht="18">
      <c r="B106" s="112" t="s">
        <v>187</v>
      </c>
      <c r="C106" s="112"/>
      <c r="D106" s="112"/>
      <c r="E106" s="112"/>
      <c r="J106" s="45"/>
    </row>
    <row r="107" spans="2:10" ht="18">
      <c r="B107" s="112" t="s">
        <v>205</v>
      </c>
      <c r="C107" s="112"/>
      <c r="D107" s="112"/>
      <c r="E107" s="112"/>
      <c r="J107" s="45"/>
    </row>
    <row r="108" ht="18">
      <c r="J108" s="45"/>
    </row>
    <row r="109" ht="18.75" thickBot="1">
      <c r="J109" s="45"/>
    </row>
    <row r="110" spans="2:10" ht="18">
      <c r="B110" s="75" t="s">
        <v>189</v>
      </c>
      <c r="C110" s="76" t="s">
        <v>190</v>
      </c>
      <c r="D110" s="76" t="s">
        <v>196</v>
      </c>
      <c r="E110" s="76" t="s">
        <v>203</v>
      </c>
      <c r="F110" s="76" t="s">
        <v>207</v>
      </c>
      <c r="G110" s="86" t="s">
        <v>204</v>
      </c>
      <c r="H110" s="87" t="s">
        <v>196</v>
      </c>
      <c r="I110" s="12"/>
      <c r="J110" s="45"/>
    </row>
    <row r="111" spans="2:10" ht="18">
      <c r="B111" s="77">
        <f>I54</f>
        <v>0.38624436925412003</v>
      </c>
      <c r="C111" s="78">
        <f>B113</f>
        <v>70</v>
      </c>
      <c r="D111" s="79">
        <f>H111-(E111+G111)</f>
        <v>16</v>
      </c>
      <c r="E111" s="79">
        <v>3</v>
      </c>
      <c r="F111" s="80">
        <f>B111*C111*D111</f>
        <v>432.59369356461445</v>
      </c>
      <c r="G111" s="79">
        <v>3</v>
      </c>
      <c r="H111" s="88">
        <f>22</f>
        <v>22</v>
      </c>
      <c r="I111" s="12"/>
      <c r="J111" s="45"/>
    </row>
    <row r="112" spans="2:10" ht="18">
      <c r="B112" s="58" t="s">
        <v>202</v>
      </c>
      <c r="C112" s="51" t="s">
        <v>14</v>
      </c>
      <c r="D112" s="51" t="s">
        <v>191</v>
      </c>
      <c r="E112" s="51" t="s">
        <v>192</v>
      </c>
      <c r="F112" s="51" t="s">
        <v>193</v>
      </c>
      <c r="G112" s="51" t="s">
        <v>194</v>
      </c>
      <c r="H112" s="59" t="s">
        <v>195</v>
      </c>
      <c r="I112" s="12"/>
      <c r="J112" s="45"/>
    </row>
    <row r="113" spans="2:10" ht="18.75" thickBot="1">
      <c r="B113" s="82">
        <f>C113*D113</f>
        <v>70</v>
      </c>
      <c r="C113" s="83">
        <f>D68</f>
        <v>7</v>
      </c>
      <c r="D113" s="83">
        <f>E68</f>
        <v>10</v>
      </c>
      <c r="E113" s="84">
        <f>(C113+D113)*2</f>
        <v>34</v>
      </c>
      <c r="F113" s="81">
        <f>C113*D113</f>
        <v>70</v>
      </c>
      <c r="G113" s="52">
        <f>C113*D113*H113</f>
        <v>196</v>
      </c>
      <c r="H113" s="85">
        <f>F68</f>
        <v>2.8</v>
      </c>
      <c r="I113" s="12"/>
      <c r="J113" s="45"/>
    </row>
    <row r="114" spans="2:10" ht="18">
      <c r="B114" s="43"/>
      <c r="C114" s="12"/>
      <c r="D114" s="12"/>
      <c r="E114" s="16"/>
      <c r="F114" s="12"/>
      <c r="G114" s="12"/>
      <c r="H114" s="12"/>
      <c r="I114" s="12"/>
      <c r="J114" s="45"/>
    </row>
    <row r="115" spans="2:10" ht="18">
      <c r="B115" s="43"/>
      <c r="C115" s="12"/>
      <c r="D115" s="12"/>
      <c r="E115" s="16"/>
      <c r="F115" s="12"/>
      <c r="G115" s="12"/>
      <c r="H115" s="12"/>
      <c r="I115" s="12"/>
      <c r="J115" s="45"/>
    </row>
    <row r="116" spans="2:10" ht="23.25">
      <c r="B116" s="3" t="s">
        <v>206</v>
      </c>
      <c r="C116" s="11"/>
      <c r="D116" s="11"/>
      <c r="E116" s="11"/>
      <c r="J116" s="45"/>
    </row>
    <row r="117" spans="2:10" ht="23.25">
      <c r="B117" s="3" t="s">
        <v>208</v>
      </c>
      <c r="C117" s="3"/>
      <c r="D117" s="11"/>
      <c r="E117" s="11"/>
      <c r="J117" s="45"/>
    </row>
    <row r="118" ht="18">
      <c r="J118" s="45"/>
    </row>
    <row r="119" spans="2:10" ht="18">
      <c r="B119" s="112" t="s">
        <v>185</v>
      </c>
      <c r="C119" s="112"/>
      <c r="D119" s="112"/>
      <c r="E119" s="112"/>
      <c r="F119" s="112"/>
      <c r="G119" s="112"/>
      <c r="H119" s="112"/>
      <c r="J119" s="45"/>
    </row>
    <row r="120" spans="2:8" ht="18">
      <c r="B120" s="112" t="s">
        <v>186</v>
      </c>
      <c r="C120" s="112"/>
      <c r="D120" s="112"/>
      <c r="E120" s="112"/>
      <c r="F120" s="112"/>
      <c r="G120" s="112"/>
      <c r="H120" s="112"/>
    </row>
    <row r="121" spans="2:8" ht="18">
      <c r="B121" s="112" t="s">
        <v>187</v>
      </c>
      <c r="C121" s="112"/>
      <c r="D121" s="112"/>
      <c r="E121" s="112"/>
      <c r="F121" s="112"/>
      <c r="G121" s="112"/>
      <c r="H121" s="112"/>
    </row>
    <row r="122" spans="2:8" ht="18">
      <c r="B122" s="112" t="s">
        <v>188</v>
      </c>
      <c r="C122" s="112"/>
      <c r="D122" s="112"/>
      <c r="E122" s="112"/>
      <c r="F122" s="112"/>
      <c r="G122" s="112"/>
      <c r="H122" s="112"/>
    </row>
    <row r="123" ht="18.75" thickBot="1"/>
    <row r="124" spans="2:8" ht="18">
      <c r="B124" s="75" t="s">
        <v>189</v>
      </c>
      <c r="C124" s="76" t="s">
        <v>190</v>
      </c>
      <c r="D124" s="76" t="s">
        <v>196</v>
      </c>
      <c r="E124" s="76" t="s">
        <v>197</v>
      </c>
      <c r="F124" s="76" t="s">
        <v>207</v>
      </c>
      <c r="G124" s="56"/>
      <c r="H124" s="57"/>
    </row>
    <row r="125" spans="2:8" ht="18">
      <c r="B125" s="77">
        <f>I68</f>
        <v>1.1945378151260506</v>
      </c>
      <c r="C125" s="78">
        <f>B127</f>
        <v>45</v>
      </c>
      <c r="D125" s="79">
        <f>22-E125</f>
        <v>19</v>
      </c>
      <c r="E125" s="79">
        <v>3</v>
      </c>
      <c r="F125" s="80">
        <f>B125*C125*D125</f>
        <v>1021.3298319327733</v>
      </c>
      <c r="G125" s="51"/>
      <c r="H125" s="59"/>
    </row>
    <row r="126" spans="2:8" ht="18">
      <c r="B126" s="58" t="s">
        <v>209</v>
      </c>
      <c r="C126" s="51" t="s">
        <v>14</v>
      </c>
      <c r="D126" s="51" t="s">
        <v>191</v>
      </c>
      <c r="E126" s="51" t="s">
        <v>192</v>
      </c>
      <c r="F126" s="51" t="s">
        <v>193</v>
      </c>
      <c r="G126" s="51" t="s">
        <v>210</v>
      </c>
      <c r="H126" s="59" t="s">
        <v>195</v>
      </c>
    </row>
    <row r="127" spans="2:8" ht="18.75" thickBot="1">
      <c r="B127" s="82">
        <f>H68</f>
        <v>45</v>
      </c>
      <c r="C127" s="83">
        <f>D68</f>
        <v>7</v>
      </c>
      <c r="D127" s="83">
        <f>E68</f>
        <v>10</v>
      </c>
      <c r="E127" s="113">
        <f>(C127+D127)*2</f>
        <v>34</v>
      </c>
      <c r="F127" s="114">
        <f>C127*D127</f>
        <v>70</v>
      </c>
      <c r="G127" s="81">
        <f>E127*H127</f>
        <v>95.19999999999999</v>
      </c>
      <c r="H127" s="85">
        <f>F68</f>
        <v>2.8</v>
      </c>
    </row>
    <row r="128" spans="2:9" ht="18">
      <c r="B128" s="15"/>
      <c r="C128" s="14"/>
      <c r="D128" s="14"/>
      <c r="E128" s="13"/>
      <c r="F128" s="17"/>
      <c r="G128" s="17"/>
      <c r="H128" s="17"/>
      <c r="I128" s="12"/>
    </row>
    <row r="129" spans="2:9" ht="18">
      <c r="B129" s="15"/>
      <c r="C129" s="14"/>
      <c r="D129" s="14"/>
      <c r="E129" s="13"/>
      <c r="F129" s="17"/>
      <c r="G129" s="17"/>
      <c r="H129" s="17"/>
      <c r="I129" s="12"/>
    </row>
    <row r="130" spans="2:9" ht="23.25">
      <c r="B130" s="115" t="s">
        <v>206</v>
      </c>
      <c r="C130" s="14"/>
      <c r="D130" s="14"/>
      <c r="E130" s="13"/>
      <c r="F130" s="17"/>
      <c r="G130" s="17"/>
      <c r="H130" s="17"/>
      <c r="I130" s="12"/>
    </row>
    <row r="131" spans="2:9" ht="20.25">
      <c r="B131" s="115" t="s">
        <v>211</v>
      </c>
      <c r="C131" s="14"/>
      <c r="D131" s="14"/>
      <c r="E131" s="13"/>
      <c r="F131" s="17"/>
      <c r="G131" s="17"/>
      <c r="H131" s="17"/>
      <c r="I131" s="12"/>
    </row>
    <row r="132" spans="2:9" ht="18">
      <c r="B132" s="15"/>
      <c r="C132" s="14"/>
      <c r="D132" s="14"/>
      <c r="E132" s="13"/>
      <c r="F132" s="17"/>
      <c r="G132" s="17"/>
      <c r="H132" s="17"/>
      <c r="I132" s="12"/>
    </row>
    <row r="133" spans="2:9" ht="18">
      <c r="B133" s="112" t="s">
        <v>212</v>
      </c>
      <c r="C133" s="112"/>
      <c r="D133" s="112"/>
      <c r="E133" s="112"/>
      <c r="I133" s="12"/>
    </row>
    <row r="134" spans="2:5" ht="18">
      <c r="B134" s="112" t="s">
        <v>213</v>
      </c>
      <c r="C134" s="112"/>
      <c r="D134" s="112"/>
      <c r="E134" s="112"/>
    </row>
    <row r="135" spans="2:5" ht="18">
      <c r="B135" s="112" t="s">
        <v>214</v>
      </c>
      <c r="C135" s="112"/>
      <c r="D135" s="112"/>
      <c r="E135" s="112"/>
    </row>
    <row r="136" spans="2:8" ht="18">
      <c r="B136" s="112" t="s">
        <v>188</v>
      </c>
      <c r="C136" s="112"/>
      <c r="D136" s="112"/>
      <c r="E136" s="112"/>
      <c r="F136" s="112"/>
      <c r="G136" s="112"/>
      <c r="H136" s="112"/>
    </row>
    <row r="137" spans="2:3" ht="18">
      <c r="B137" s="112" t="s">
        <v>217</v>
      </c>
      <c r="C137" s="112"/>
    </row>
    <row r="138" ht="18.75" thickBot="1"/>
    <row r="139" spans="2:8" ht="18">
      <c r="B139" s="75" t="s">
        <v>216</v>
      </c>
      <c r="C139" s="76" t="s">
        <v>218</v>
      </c>
      <c r="D139" s="76" t="s">
        <v>196</v>
      </c>
      <c r="E139" s="76" t="s">
        <v>197</v>
      </c>
      <c r="F139" s="76" t="s">
        <v>207</v>
      </c>
      <c r="G139" s="94" t="s">
        <v>215</v>
      </c>
      <c r="H139" s="119" t="s">
        <v>111</v>
      </c>
    </row>
    <row r="140" spans="2:8" ht="18">
      <c r="B140" s="122">
        <v>1.5</v>
      </c>
      <c r="C140" s="78">
        <v>1.2</v>
      </c>
      <c r="D140" s="79">
        <f>G140-E140</f>
        <v>19</v>
      </c>
      <c r="E140" s="79">
        <v>3</v>
      </c>
      <c r="F140" s="120">
        <f>B140*G142*C140*H140*E140</f>
        <v>529.2</v>
      </c>
      <c r="G140" s="116">
        <v>22</v>
      </c>
      <c r="H140" s="109">
        <v>0.5</v>
      </c>
    </row>
    <row r="141" spans="2:8" ht="18">
      <c r="B141" s="58" t="s">
        <v>202</v>
      </c>
      <c r="C141" s="51" t="s">
        <v>14</v>
      </c>
      <c r="D141" s="51" t="s">
        <v>191</v>
      </c>
      <c r="E141" s="51" t="s">
        <v>192</v>
      </c>
      <c r="F141" s="51" t="s">
        <v>193</v>
      </c>
      <c r="G141" s="117" t="s">
        <v>194</v>
      </c>
      <c r="H141" s="59" t="s">
        <v>195</v>
      </c>
    </row>
    <row r="142" spans="2:8" ht="18.75" thickBot="1">
      <c r="B142" s="121">
        <f>C142*D142</f>
        <v>70</v>
      </c>
      <c r="C142" s="83">
        <f>D68</f>
        <v>7</v>
      </c>
      <c r="D142" s="83">
        <f>E68</f>
        <v>10</v>
      </c>
      <c r="E142" s="113">
        <f>(C142+D142)*2</f>
        <v>34</v>
      </c>
      <c r="F142" s="114">
        <f>C142*D142</f>
        <v>70</v>
      </c>
      <c r="G142" s="118">
        <f>C142*D142*H142</f>
        <v>196</v>
      </c>
      <c r="H142" s="85">
        <f>F68</f>
        <v>2.8</v>
      </c>
    </row>
    <row r="143" spans="2:8" ht="18">
      <c r="B143" s="15"/>
      <c r="C143" s="14"/>
      <c r="D143" s="14"/>
      <c r="E143" s="13"/>
      <c r="F143" s="15"/>
      <c r="G143" s="15"/>
      <c r="H143" s="15"/>
    </row>
    <row r="144" spans="2:8" ht="18">
      <c r="B144" s="15"/>
      <c r="C144" s="14"/>
      <c r="D144" s="14"/>
      <c r="E144" s="13"/>
      <c r="F144" s="15"/>
      <c r="G144" s="15"/>
      <c r="H144" s="15"/>
    </row>
    <row r="145" spans="2:7" ht="23.25">
      <c r="B145" s="3" t="s">
        <v>219</v>
      </c>
      <c r="C145" s="123"/>
      <c r="D145" s="123"/>
      <c r="E145" s="123"/>
      <c r="F145" s="124"/>
      <c r="G145" s="124"/>
    </row>
    <row r="146" spans="2:5" ht="23.25">
      <c r="B146" s="3" t="s">
        <v>198</v>
      </c>
      <c r="C146" s="3"/>
      <c r="D146" s="11"/>
      <c r="E146" s="11"/>
    </row>
    <row r="147" ht="18"/>
    <row r="148" spans="2:8" ht="18">
      <c r="B148" s="112" t="s">
        <v>185</v>
      </c>
      <c r="C148" s="112"/>
      <c r="D148" s="112"/>
      <c r="E148" s="112"/>
      <c r="F148" s="112"/>
      <c r="G148" s="112"/>
      <c r="H148" s="112"/>
    </row>
    <row r="149" spans="2:8" ht="18">
      <c r="B149" s="112" t="s">
        <v>186</v>
      </c>
      <c r="C149" s="112"/>
      <c r="D149" s="112"/>
      <c r="E149" s="112"/>
      <c r="F149" s="112"/>
      <c r="G149" s="112"/>
      <c r="H149" s="112"/>
    </row>
    <row r="150" spans="2:8" ht="18">
      <c r="B150" s="112" t="s">
        <v>187</v>
      </c>
      <c r="C150" s="112"/>
      <c r="D150" s="112"/>
      <c r="E150" s="112"/>
      <c r="F150" s="112"/>
      <c r="G150" s="112"/>
      <c r="H150" s="112"/>
    </row>
    <row r="151" spans="2:8" ht="18">
      <c r="B151" s="112" t="s">
        <v>188</v>
      </c>
      <c r="C151" s="112"/>
      <c r="D151" s="112"/>
      <c r="E151" s="112"/>
      <c r="F151" s="112"/>
      <c r="G151" s="112"/>
      <c r="H151" s="112"/>
    </row>
    <row r="152" ht="18.75" thickBot="1"/>
    <row r="153" spans="2:8" ht="18">
      <c r="B153" s="75" t="s">
        <v>189</v>
      </c>
      <c r="C153" s="76" t="s">
        <v>190</v>
      </c>
      <c r="D153" s="76" t="s">
        <v>220</v>
      </c>
      <c r="E153" s="126"/>
      <c r="F153" s="76" t="s">
        <v>207</v>
      </c>
      <c r="G153" s="125" t="s">
        <v>221</v>
      </c>
      <c r="H153" s="57"/>
    </row>
    <row r="154" spans="2:8" ht="18">
      <c r="B154" s="77">
        <f>B82</f>
        <v>0.3292026476965801</v>
      </c>
      <c r="C154" s="78">
        <f>B156</f>
        <v>95.19999999999999</v>
      </c>
      <c r="D154" s="79">
        <f>1500</f>
        <v>1500</v>
      </c>
      <c r="E154" s="127"/>
      <c r="F154" s="80">
        <f>B154*C154*D154*G154</f>
        <v>1128.243314185719</v>
      </c>
      <c r="G154" s="79">
        <f>(1/1000)*24</f>
        <v>0.024</v>
      </c>
      <c r="H154" s="59"/>
    </row>
    <row r="155" spans="2:8" ht="18">
      <c r="B155" s="58" t="s">
        <v>24</v>
      </c>
      <c r="C155" s="51" t="s">
        <v>14</v>
      </c>
      <c r="D155" s="51" t="s">
        <v>191</v>
      </c>
      <c r="E155" s="51" t="s">
        <v>192</v>
      </c>
      <c r="F155" s="51" t="s">
        <v>193</v>
      </c>
      <c r="G155" s="51" t="s">
        <v>194</v>
      </c>
      <c r="H155" s="59" t="s">
        <v>195</v>
      </c>
    </row>
    <row r="156" spans="2:8" ht="18.75" thickBot="1">
      <c r="B156" s="82">
        <f>E156*H156</f>
        <v>95.19999999999999</v>
      </c>
      <c r="C156" s="83">
        <f>D68</f>
        <v>7</v>
      </c>
      <c r="D156" s="83">
        <f>E68</f>
        <v>10</v>
      </c>
      <c r="E156" s="84">
        <f>(C156+D156)*2</f>
        <v>34</v>
      </c>
      <c r="F156" s="114">
        <f>C156*D156</f>
        <v>70</v>
      </c>
      <c r="G156" s="52">
        <f>C156*D156*H156</f>
        <v>196</v>
      </c>
      <c r="H156" s="85">
        <f>F68</f>
        <v>2.8</v>
      </c>
    </row>
    <row r="157" ht="18"/>
    <row r="158" ht="18"/>
    <row r="159" spans="2:7" ht="23.25">
      <c r="B159" s="3" t="s">
        <v>219</v>
      </c>
      <c r="C159" s="123"/>
      <c r="D159" s="123"/>
      <c r="E159" s="123"/>
      <c r="F159" s="124"/>
      <c r="G159" s="124"/>
    </row>
    <row r="160" spans="2:5" ht="23.25">
      <c r="B160" s="3" t="s">
        <v>199</v>
      </c>
      <c r="C160" s="3"/>
      <c r="D160" s="11"/>
      <c r="E160" s="11"/>
    </row>
    <row r="161" ht="18"/>
    <row r="162" spans="2:8" ht="18">
      <c r="B162" s="112" t="s">
        <v>185</v>
      </c>
      <c r="C162" s="112"/>
      <c r="D162" s="112"/>
      <c r="E162" s="112"/>
      <c r="F162" s="112"/>
      <c r="G162" s="112"/>
      <c r="H162" s="112"/>
    </row>
    <row r="163" spans="2:8" ht="18">
      <c r="B163" s="112" t="s">
        <v>186</v>
      </c>
      <c r="C163" s="112"/>
      <c r="D163" s="112"/>
      <c r="E163" s="112"/>
      <c r="F163" s="112"/>
      <c r="G163" s="112"/>
      <c r="H163" s="112"/>
    </row>
    <row r="164" spans="2:8" ht="18">
      <c r="B164" s="112" t="s">
        <v>187</v>
      </c>
      <c r="C164" s="112"/>
      <c r="D164" s="112"/>
      <c r="E164" s="112"/>
      <c r="F164" s="112"/>
      <c r="G164" s="112"/>
      <c r="H164" s="112"/>
    </row>
    <row r="165" spans="2:8" ht="18">
      <c r="B165" s="112" t="s">
        <v>188</v>
      </c>
      <c r="C165" s="112"/>
      <c r="D165" s="112"/>
      <c r="E165" s="112"/>
      <c r="F165" s="112"/>
      <c r="G165" s="112"/>
      <c r="H165" s="112"/>
    </row>
    <row r="166" ht="18.75" thickBot="1"/>
    <row r="167" spans="2:8" ht="18">
      <c r="B167" s="75" t="s">
        <v>189</v>
      </c>
      <c r="C167" s="76" t="s">
        <v>190</v>
      </c>
      <c r="D167" s="76" t="s">
        <v>220</v>
      </c>
      <c r="E167" s="126"/>
      <c r="F167" s="76" t="s">
        <v>207</v>
      </c>
      <c r="G167" s="125" t="s">
        <v>221</v>
      </c>
      <c r="H167" s="57"/>
    </row>
    <row r="168" spans="2:8" ht="18">
      <c r="B168" s="77">
        <f>B96</f>
        <v>0.3367003367003367</v>
      </c>
      <c r="C168" s="78">
        <f>B170</f>
        <v>70</v>
      </c>
      <c r="D168" s="79">
        <f>1500</f>
        <v>1500</v>
      </c>
      <c r="E168" s="127"/>
      <c r="F168" s="80">
        <f>B168*C168*D168*G168</f>
        <v>848.4848484848486</v>
      </c>
      <c r="G168" s="79">
        <f>(1/1000)*24</f>
        <v>0.024</v>
      </c>
      <c r="H168" s="59"/>
    </row>
    <row r="169" spans="2:8" ht="18">
      <c r="B169" s="58" t="s">
        <v>200</v>
      </c>
      <c r="C169" s="51" t="s">
        <v>14</v>
      </c>
      <c r="D169" s="51" t="s">
        <v>191</v>
      </c>
      <c r="E169" s="51" t="s">
        <v>192</v>
      </c>
      <c r="F169" s="51" t="s">
        <v>193</v>
      </c>
      <c r="G169" s="51" t="s">
        <v>194</v>
      </c>
      <c r="H169" s="59" t="s">
        <v>195</v>
      </c>
    </row>
    <row r="170" spans="2:8" ht="18.75" thickBot="1">
      <c r="B170" s="82">
        <f>C170*D170</f>
        <v>70</v>
      </c>
      <c r="C170" s="83">
        <f>D68</f>
        <v>7</v>
      </c>
      <c r="D170" s="83">
        <f>E68</f>
        <v>10</v>
      </c>
      <c r="E170" s="84">
        <f>(C170+D170)*2</f>
        <v>34</v>
      </c>
      <c r="F170" s="81">
        <f>C170*D170</f>
        <v>70</v>
      </c>
      <c r="G170" s="52">
        <f>C170*D170*H170</f>
        <v>196</v>
      </c>
      <c r="H170" s="85">
        <f>F68</f>
        <v>2.8</v>
      </c>
    </row>
    <row r="171" ht="18"/>
    <row r="172" ht="18"/>
    <row r="173" spans="2:7" ht="23.25">
      <c r="B173" s="3" t="s">
        <v>219</v>
      </c>
      <c r="C173" s="123"/>
      <c r="D173" s="123"/>
      <c r="E173" s="123"/>
      <c r="F173" s="124"/>
      <c r="G173" s="124"/>
    </row>
    <row r="174" spans="2:5" ht="23.25">
      <c r="B174" s="3" t="s">
        <v>201</v>
      </c>
      <c r="C174" s="3"/>
      <c r="D174" s="11"/>
      <c r="E174" s="11"/>
    </row>
    <row r="175" ht="18"/>
    <row r="176" spans="2:5" ht="18">
      <c r="B176" s="112" t="s">
        <v>185</v>
      </c>
      <c r="C176" s="112"/>
      <c r="D176" s="112"/>
      <c r="E176" s="112"/>
    </row>
    <row r="177" spans="2:5" ht="18">
      <c r="B177" s="112" t="s">
        <v>186</v>
      </c>
      <c r="C177" s="112"/>
      <c r="D177" s="112"/>
      <c r="E177" s="112"/>
    </row>
    <row r="178" spans="2:5" ht="18">
      <c r="B178" s="112" t="s">
        <v>187</v>
      </c>
      <c r="C178" s="112"/>
      <c r="D178" s="112"/>
      <c r="E178" s="112"/>
    </row>
    <row r="179" spans="2:5" ht="18">
      <c r="B179" s="112" t="s">
        <v>205</v>
      </c>
      <c r="C179" s="112"/>
      <c r="D179" s="112"/>
      <c r="E179" s="112"/>
    </row>
    <row r="180" ht="18"/>
    <row r="181" ht="18.75" thickBot="1"/>
    <row r="182" spans="2:9" ht="18">
      <c r="B182" s="75" t="s">
        <v>189</v>
      </c>
      <c r="C182" s="76" t="s">
        <v>190</v>
      </c>
      <c r="D182" s="76" t="s">
        <v>222</v>
      </c>
      <c r="E182" s="76" t="s">
        <v>203</v>
      </c>
      <c r="F182" s="76" t="s">
        <v>207</v>
      </c>
      <c r="G182" s="125" t="s">
        <v>221</v>
      </c>
      <c r="H182" s="87" t="s">
        <v>196</v>
      </c>
      <c r="I182" s="12"/>
    </row>
    <row r="183" spans="2:9" ht="18">
      <c r="B183" s="77">
        <f>B111</f>
        <v>0.38624436925412003</v>
      </c>
      <c r="C183" s="78">
        <f>B185</f>
        <v>70</v>
      </c>
      <c r="D183" s="79">
        <v>720</v>
      </c>
      <c r="E183" s="79">
        <v>3</v>
      </c>
      <c r="F183" s="80">
        <f>B183*C183*(H183-(E183+3))/1000</f>
        <v>0.43259369356461447</v>
      </c>
      <c r="G183" s="79">
        <v>1000</v>
      </c>
      <c r="H183" s="88">
        <f>22</f>
        <v>22</v>
      </c>
      <c r="I183" s="12"/>
    </row>
    <row r="184" spans="2:9" ht="18">
      <c r="B184" s="58" t="s">
        <v>202</v>
      </c>
      <c r="C184" s="51" t="s">
        <v>14</v>
      </c>
      <c r="D184" s="51" t="s">
        <v>191</v>
      </c>
      <c r="E184" s="51" t="s">
        <v>192</v>
      </c>
      <c r="F184" s="51" t="s">
        <v>193</v>
      </c>
      <c r="G184" s="51" t="s">
        <v>194</v>
      </c>
      <c r="H184" s="59" t="s">
        <v>195</v>
      </c>
      <c r="I184" s="12"/>
    </row>
    <row r="185" spans="2:9" ht="18.75" thickBot="1">
      <c r="B185" s="82">
        <f>C185*D185</f>
        <v>70</v>
      </c>
      <c r="C185" s="83">
        <f>D68</f>
        <v>7</v>
      </c>
      <c r="D185" s="83">
        <f>E68</f>
        <v>10</v>
      </c>
      <c r="E185" s="84">
        <f>(C185+D185)*2</f>
        <v>34</v>
      </c>
      <c r="F185" s="81">
        <f>C185*D185</f>
        <v>70</v>
      </c>
      <c r="G185" s="52">
        <f>C185*D185*H185</f>
        <v>196</v>
      </c>
      <c r="H185" s="85">
        <f>F68</f>
        <v>2.8</v>
      </c>
      <c r="I185" s="12"/>
    </row>
    <row r="186" spans="2:9" ht="18">
      <c r="B186" s="43"/>
      <c r="C186" s="12"/>
      <c r="D186" s="12"/>
      <c r="E186" s="16"/>
      <c r="F186" s="12"/>
      <c r="G186" s="12"/>
      <c r="H186" s="12"/>
      <c r="I186" s="12"/>
    </row>
    <row r="187" spans="2:9" ht="18">
      <c r="B187" s="43"/>
      <c r="C187" s="12"/>
      <c r="D187" s="12"/>
      <c r="E187" s="16"/>
      <c r="F187" s="12"/>
      <c r="G187" s="12"/>
      <c r="H187" s="12"/>
      <c r="I187" s="12"/>
    </row>
    <row r="188" spans="2:14" ht="23.25">
      <c r="B188" s="3" t="s">
        <v>219</v>
      </c>
      <c r="C188" s="123"/>
      <c r="D188" s="123"/>
      <c r="E188" s="123"/>
      <c r="F188" s="124"/>
      <c r="G188" s="124"/>
      <c r="H188" s="141"/>
      <c r="I188" s="141"/>
      <c r="J188" s="141"/>
      <c r="K188" s="141"/>
      <c r="L188" s="141"/>
      <c r="M188" s="142"/>
      <c r="N188" s="141"/>
    </row>
    <row r="189" spans="2:14" ht="23.25">
      <c r="B189" s="3" t="s">
        <v>208</v>
      </c>
      <c r="C189" s="3"/>
      <c r="D189" s="11"/>
      <c r="E189" s="11"/>
      <c r="H189" s="13"/>
      <c r="I189" s="14"/>
      <c r="J189" s="143"/>
      <c r="K189" s="143"/>
      <c r="L189" s="144"/>
      <c r="M189" s="143"/>
      <c r="N189" s="143"/>
    </row>
    <row r="190" spans="8:14" ht="18">
      <c r="H190" s="17"/>
      <c r="I190" s="17"/>
      <c r="J190" s="17"/>
      <c r="K190" s="17"/>
      <c r="L190" s="17"/>
      <c r="M190" s="17"/>
      <c r="N190" s="17"/>
    </row>
    <row r="191" spans="2:14" ht="18">
      <c r="B191" s="112" t="s">
        <v>185</v>
      </c>
      <c r="C191" s="112"/>
      <c r="D191" s="112"/>
      <c r="E191" s="112"/>
      <c r="F191" s="112"/>
      <c r="G191" s="112"/>
      <c r="H191" s="14"/>
      <c r="I191" s="16"/>
      <c r="J191" s="16"/>
      <c r="K191" s="16"/>
      <c r="L191" s="14"/>
      <c r="M191" s="17"/>
      <c r="N191" s="16"/>
    </row>
    <row r="192" spans="2:8" ht="18">
      <c r="B192" s="112" t="s">
        <v>186</v>
      </c>
      <c r="C192" s="112"/>
      <c r="D192" s="112"/>
      <c r="E192" s="112"/>
      <c r="F192" s="112"/>
      <c r="G192" s="112"/>
      <c r="H192" s="112"/>
    </row>
    <row r="193" spans="2:8" ht="18">
      <c r="B193" s="112" t="s">
        <v>187</v>
      </c>
      <c r="C193" s="112"/>
      <c r="D193" s="112"/>
      <c r="E193" s="112"/>
      <c r="F193" s="112"/>
      <c r="G193" s="112"/>
      <c r="H193" s="112"/>
    </row>
    <row r="194" spans="2:8" ht="18">
      <c r="B194" s="112" t="s">
        <v>188</v>
      </c>
      <c r="C194" s="112"/>
      <c r="D194" s="112"/>
      <c r="E194" s="112"/>
      <c r="F194" s="112"/>
      <c r="G194" s="112"/>
      <c r="H194" s="112"/>
    </row>
    <row r="195" ht="18.75" thickBot="1"/>
    <row r="196" spans="2:8" ht="18">
      <c r="B196" s="75" t="s">
        <v>189</v>
      </c>
      <c r="C196" s="76" t="s">
        <v>190</v>
      </c>
      <c r="D196" s="76" t="s">
        <v>220</v>
      </c>
      <c r="E196" s="126"/>
      <c r="F196" s="76" t="s">
        <v>207</v>
      </c>
      <c r="G196" s="125" t="s">
        <v>221</v>
      </c>
      <c r="H196" s="57"/>
    </row>
    <row r="197" spans="2:8" ht="18">
      <c r="B197" s="77">
        <f>B125</f>
        <v>1.1945378151260506</v>
      </c>
      <c r="C197" s="78">
        <f>B199</f>
        <v>18</v>
      </c>
      <c r="D197" s="79">
        <f>1500</f>
        <v>1500</v>
      </c>
      <c r="E197" s="127"/>
      <c r="F197" s="80">
        <f>B197*C197*D197*G197</f>
        <v>774.0605042016808</v>
      </c>
      <c r="G197" s="79">
        <f>(1/1000)*24</f>
        <v>0.024</v>
      </c>
      <c r="H197" s="59"/>
    </row>
    <row r="198" spans="2:8" ht="18">
      <c r="B198" s="58" t="s">
        <v>209</v>
      </c>
      <c r="C198" s="51" t="s">
        <v>14</v>
      </c>
      <c r="D198" s="51" t="s">
        <v>191</v>
      </c>
      <c r="E198" s="51" t="s">
        <v>192</v>
      </c>
      <c r="F198" s="51" t="s">
        <v>193</v>
      </c>
      <c r="G198" s="51" t="s">
        <v>210</v>
      </c>
      <c r="H198" s="59" t="s">
        <v>195</v>
      </c>
    </row>
    <row r="199" spans="2:8" ht="18.75" thickBot="1">
      <c r="B199" s="82">
        <v>18</v>
      </c>
      <c r="C199" s="83">
        <v>10</v>
      </c>
      <c r="D199" s="83">
        <f>E68</f>
        <v>10</v>
      </c>
      <c r="E199" s="84">
        <f>(C199+D199)*2</f>
        <v>40</v>
      </c>
      <c r="F199" s="114">
        <f>C199*D199</f>
        <v>100</v>
      </c>
      <c r="G199" s="81">
        <f>E199*H199</f>
        <v>112</v>
      </c>
      <c r="H199" s="85">
        <f>F68</f>
        <v>2.8</v>
      </c>
    </row>
    <row r="202" spans="2:9" ht="23.25">
      <c r="B202" s="145" t="s">
        <v>223</v>
      </c>
      <c r="C202" s="146"/>
      <c r="D202" s="146"/>
      <c r="E202" s="147"/>
      <c r="F202" s="17"/>
      <c r="G202" s="17"/>
      <c r="H202" s="17"/>
      <c r="I202" s="12"/>
    </row>
    <row r="203" spans="2:9" ht="23.25">
      <c r="B203" s="145" t="s">
        <v>226</v>
      </c>
      <c r="C203" s="146"/>
      <c r="D203" s="146"/>
      <c r="E203" s="147"/>
      <c r="F203" s="17"/>
      <c r="G203" s="17"/>
      <c r="H203" s="17"/>
      <c r="I203" s="12"/>
    </row>
    <row r="204" spans="2:9" ht="18">
      <c r="B204" s="15"/>
      <c r="C204" s="14"/>
      <c r="D204" s="14"/>
      <c r="E204" s="13"/>
      <c r="F204" s="17"/>
      <c r="G204" s="17"/>
      <c r="H204" s="17"/>
      <c r="I204" s="12"/>
    </row>
    <row r="205" spans="2:9" ht="18">
      <c r="B205" s="112" t="s">
        <v>212</v>
      </c>
      <c r="C205" s="112"/>
      <c r="D205" s="112"/>
      <c r="E205" s="112"/>
      <c r="I205" s="12"/>
    </row>
    <row r="206" spans="2:5" ht="18">
      <c r="B206" s="112" t="s">
        <v>213</v>
      </c>
      <c r="C206" s="112"/>
      <c r="D206" s="112"/>
      <c r="E206" s="112"/>
    </row>
    <row r="207" spans="2:5" ht="18">
      <c r="B207" s="112" t="s">
        <v>214</v>
      </c>
      <c r="C207" s="112"/>
      <c r="D207" s="112"/>
      <c r="E207" s="112"/>
    </row>
    <row r="208" spans="2:8" ht="18">
      <c r="B208" s="112" t="s">
        <v>188</v>
      </c>
      <c r="C208" s="112"/>
      <c r="D208" s="112"/>
      <c r="E208" s="112"/>
      <c r="F208" s="112"/>
      <c r="G208" s="112"/>
      <c r="H208" s="112"/>
    </row>
    <row r="209" spans="2:3" ht="18">
      <c r="B209" s="112" t="s">
        <v>217</v>
      </c>
      <c r="C209" s="112"/>
    </row>
    <row r="210" ht="18.75" thickBot="1"/>
    <row r="211" spans="2:9" ht="18">
      <c r="B211" s="75" t="s">
        <v>216</v>
      </c>
      <c r="C211" s="76" t="s">
        <v>218</v>
      </c>
      <c r="D211" s="126"/>
      <c r="E211" s="126"/>
      <c r="F211" s="76" t="s">
        <v>225</v>
      </c>
      <c r="G211" s="94" t="s">
        <v>227</v>
      </c>
      <c r="H211" s="148" t="s">
        <v>111</v>
      </c>
      <c r="I211" s="87" t="s">
        <v>224</v>
      </c>
    </row>
    <row r="212" spans="2:9" ht="18">
      <c r="B212" s="150">
        <f>1.5/3600</f>
        <v>0.0004166666666666667</v>
      </c>
      <c r="C212" s="78">
        <v>1.2</v>
      </c>
      <c r="D212" s="127"/>
      <c r="E212" s="127"/>
      <c r="F212" s="120">
        <f>B212*G214*C212*I212/G212*24</f>
        <v>167.99999999999997</v>
      </c>
      <c r="G212" s="50">
        <v>30</v>
      </c>
      <c r="H212" s="78">
        <v>0.5</v>
      </c>
      <c r="I212" s="149">
        <f>1500</f>
        <v>1500</v>
      </c>
    </row>
    <row r="213" spans="2:9" ht="18">
      <c r="B213" s="58" t="s">
        <v>202</v>
      </c>
      <c r="C213" s="51" t="s">
        <v>14</v>
      </c>
      <c r="D213" s="51" t="s">
        <v>191</v>
      </c>
      <c r="E213" s="51" t="s">
        <v>192</v>
      </c>
      <c r="F213" s="51" t="s">
        <v>193</v>
      </c>
      <c r="G213" s="117" t="s">
        <v>194</v>
      </c>
      <c r="H213" s="51" t="s">
        <v>195</v>
      </c>
      <c r="I213" s="59"/>
    </row>
    <row r="214" spans="2:9" ht="18.75" thickBot="1">
      <c r="B214" s="121">
        <f>C214*D214</f>
        <v>100</v>
      </c>
      <c r="C214" s="83">
        <f>C199</f>
        <v>10</v>
      </c>
      <c r="D214" s="83">
        <f>D199</f>
        <v>10</v>
      </c>
      <c r="E214" s="113">
        <f>(C214+D214)*2</f>
        <v>40</v>
      </c>
      <c r="F214" s="114">
        <f>C214*D214</f>
        <v>100</v>
      </c>
      <c r="G214" s="118">
        <f>C214*D214*H214</f>
        <v>280</v>
      </c>
      <c r="H214" s="84">
        <f>H199</f>
        <v>2.8</v>
      </c>
      <c r="I214" s="62"/>
    </row>
    <row r="217" spans="2:9" ht="23.25">
      <c r="B217" s="145" t="s">
        <v>223</v>
      </c>
      <c r="C217" s="146"/>
      <c r="D217" s="146"/>
      <c r="E217" s="147"/>
      <c r="F217" s="17"/>
      <c r="G217" s="17"/>
      <c r="H217" s="17"/>
      <c r="I217" s="12"/>
    </row>
    <row r="218" spans="2:9" ht="23.25">
      <c r="B218" s="145" t="s">
        <v>228</v>
      </c>
      <c r="C218" s="146"/>
      <c r="D218" s="146"/>
      <c r="E218" s="147"/>
      <c r="F218" s="17"/>
      <c r="G218" s="17"/>
      <c r="H218" s="17"/>
      <c r="I218" s="12"/>
    </row>
    <row r="219" spans="2:9" ht="18">
      <c r="B219" s="15"/>
      <c r="C219" s="14"/>
      <c r="D219" s="14"/>
      <c r="E219" s="13"/>
      <c r="F219" s="17"/>
      <c r="G219" s="17"/>
      <c r="H219" s="17"/>
      <c r="I219" s="12"/>
    </row>
    <row r="220" spans="2:9" ht="18">
      <c r="B220" s="112" t="s">
        <v>212</v>
      </c>
      <c r="C220" s="112"/>
      <c r="D220" s="112"/>
      <c r="E220" s="112"/>
      <c r="I220" s="12"/>
    </row>
    <row r="221" spans="2:5" ht="18">
      <c r="B221" s="112" t="s">
        <v>213</v>
      </c>
      <c r="C221" s="112"/>
      <c r="D221" s="112"/>
      <c r="E221" s="112"/>
    </row>
    <row r="222" spans="2:5" ht="18">
      <c r="B222" s="112" t="s">
        <v>214</v>
      </c>
      <c r="C222" s="112"/>
      <c r="D222" s="112"/>
      <c r="E222" s="112"/>
    </row>
    <row r="223" spans="2:8" ht="18">
      <c r="B223" s="112" t="s">
        <v>188</v>
      </c>
      <c r="C223" s="112"/>
      <c r="D223" s="112"/>
      <c r="E223" s="112"/>
      <c r="F223" s="112"/>
      <c r="G223" s="112"/>
      <c r="H223" s="112"/>
    </row>
    <row r="224" spans="2:3" ht="18">
      <c r="B224" s="112" t="s">
        <v>217</v>
      </c>
      <c r="C224" s="112"/>
    </row>
    <row r="225" ht="18.75" thickBot="1"/>
    <row r="226" spans="2:9" ht="18">
      <c r="B226" s="75" t="s">
        <v>216</v>
      </c>
      <c r="C226" s="76" t="s">
        <v>218</v>
      </c>
      <c r="D226" s="126"/>
      <c r="E226" s="126"/>
      <c r="F226" s="76" t="s">
        <v>225</v>
      </c>
      <c r="G226" s="94" t="s">
        <v>227</v>
      </c>
      <c r="H226" s="148" t="s">
        <v>111</v>
      </c>
      <c r="I226" s="87" t="s">
        <v>224</v>
      </c>
    </row>
    <row r="227" spans="2:9" ht="18">
      <c r="B227" s="150">
        <f>1.5/3600</f>
        <v>0.0004166666666666667</v>
      </c>
      <c r="C227" s="78">
        <v>1.2</v>
      </c>
      <c r="D227" s="127"/>
      <c r="E227" s="127"/>
      <c r="F227" s="120">
        <f>B227*G229*C227*I227*24</f>
        <v>5039.999999999999</v>
      </c>
      <c r="G227" s="50">
        <v>30</v>
      </c>
      <c r="H227" s="78">
        <v>0.5</v>
      </c>
      <c r="I227" s="149">
        <f>1500</f>
        <v>1500</v>
      </c>
    </row>
    <row r="228" spans="2:9" ht="18">
      <c r="B228" s="58" t="s">
        <v>202</v>
      </c>
      <c r="C228" s="51" t="s">
        <v>14</v>
      </c>
      <c r="D228" s="51" t="s">
        <v>191</v>
      </c>
      <c r="E228" s="51" t="s">
        <v>192</v>
      </c>
      <c r="F228" s="51" t="s">
        <v>193</v>
      </c>
      <c r="G228" s="117" t="s">
        <v>194</v>
      </c>
      <c r="H228" s="51" t="s">
        <v>195</v>
      </c>
      <c r="I228" s="59"/>
    </row>
    <row r="229" spans="2:9" ht="18.75" thickBot="1">
      <c r="B229" s="121">
        <f>C229*D229</f>
        <v>100</v>
      </c>
      <c r="C229" s="83">
        <f>C214</f>
        <v>10</v>
      </c>
      <c r="D229" s="83">
        <f>D214</f>
        <v>10</v>
      </c>
      <c r="E229" s="113">
        <f>(C229+D229)*2</f>
        <v>40</v>
      </c>
      <c r="F229" s="114">
        <f>C229*D229</f>
        <v>100</v>
      </c>
      <c r="G229" s="118">
        <f>C229*D229*H229</f>
        <v>280</v>
      </c>
      <c r="H229" s="84">
        <f>H214</f>
        <v>2.8</v>
      </c>
      <c r="I229" s="62"/>
    </row>
  </sheetData>
  <mergeCells count="3">
    <mergeCell ref="T21:U21"/>
    <mergeCell ref="T31:U31"/>
    <mergeCell ref="T40:U40"/>
  </mergeCells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Arquitectura&amp;Diseño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Sarce Thomann</dc:creator>
  <cp:keywords/>
  <dc:description/>
  <cp:lastModifiedBy>Fernando Sarce Thomann</cp:lastModifiedBy>
  <dcterms:created xsi:type="dcterms:W3CDTF">2004-04-14T15:59:40Z</dcterms:created>
  <dcterms:modified xsi:type="dcterms:W3CDTF">2004-05-03T20:54:48Z</dcterms:modified>
  <cp:category/>
  <cp:version/>
  <cp:contentType/>
  <cp:contentStatus/>
</cp:coreProperties>
</file>